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Communications\Typefi\CEP\G20 fossil fuels 2015\Country case studies\Korea\"/>
    </mc:Choice>
  </mc:AlternateContent>
  <bookViews>
    <workbookView xWindow="0" yWindow="0" windowWidth="20160" windowHeight="8475" tabRatio="500"/>
  </bookViews>
  <sheets>
    <sheet name="Overview" sheetId="9" r:id="rId1"/>
    <sheet name="National Subsidies" sheetId="1" r:id="rId2"/>
    <sheet name="SOE Investment" sheetId="8" r:id="rId3"/>
    <sheet name="PF_Summary" sheetId="3" r:id="rId4"/>
    <sheet name="PF_Domestic_Full" sheetId="5" r:id="rId5"/>
    <sheet name="PF_International_Full" sheetId="6" r:id="rId6"/>
  </sheets>
  <calcPr calcId="152511"/>
</workbook>
</file>

<file path=xl/calcChain.xml><?xml version="1.0" encoding="utf-8"?>
<calcChain xmlns="http://schemas.openxmlformats.org/spreadsheetml/2006/main">
  <c r="G9" i="8" l="1"/>
  <c r="F4" i="1"/>
  <c r="F5" i="1"/>
  <c r="F6" i="1"/>
  <c r="F7" i="1"/>
  <c r="F8" i="1"/>
  <c r="F9" i="1"/>
  <c r="E4" i="1"/>
  <c r="E11" i="1" s="1"/>
  <c r="E5" i="1"/>
  <c r="E6" i="1"/>
  <c r="E7" i="1"/>
  <c r="E8" i="1"/>
  <c r="E9" i="1"/>
  <c r="G8" i="1"/>
  <c r="G7" i="1"/>
  <c r="H24" i="6"/>
  <c r="H54" i="6" s="1"/>
  <c r="H28" i="6"/>
  <c r="H33" i="6"/>
  <c r="H35" i="6"/>
  <c r="H47" i="6"/>
  <c r="U43" i="6"/>
  <c r="R46" i="6"/>
  <c r="R47" i="6" s="1"/>
  <c r="Q46" i="6"/>
  <c r="Q47" i="6" s="1"/>
  <c r="P46" i="6"/>
  <c r="P47" i="6" s="1"/>
  <c r="O46" i="6"/>
  <c r="O47" i="6"/>
  <c r="N46" i="6"/>
  <c r="N47" i="6" s="1"/>
  <c r="U41" i="6"/>
  <c r="C13" i="3"/>
  <c r="C15" i="3" s="1"/>
  <c r="D13" i="3"/>
  <c r="D15" i="3"/>
  <c r="E13" i="3"/>
  <c r="E15" i="3" s="1"/>
  <c r="B13" i="3"/>
  <c r="B15" i="3"/>
  <c r="G13" i="3"/>
  <c r="G15" i="3" s="1"/>
  <c r="F13" i="3"/>
  <c r="F15" i="3"/>
  <c r="G8" i="8"/>
  <c r="G7" i="8"/>
  <c r="G6" i="8"/>
  <c r="F11" i="1" l="1"/>
  <c r="G6" i="1"/>
  <c r="G5" i="1"/>
  <c r="AA35" i="6"/>
  <c r="O27" i="6"/>
  <c r="V18" i="6"/>
  <c r="AA18" i="6"/>
  <c r="O7" i="6"/>
  <c r="O35" i="6"/>
  <c r="N27" i="6"/>
  <c r="AC25" i="6"/>
  <c r="AA36" i="6"/>
  <c r="AA27" i="6"/>
  <c r="V19" i="6"/>
  <c r="AA19" i="6"/>
  <c r="O6" i="6"/>
  <c r="O8" i="6" s="1"/>
  <c r="O9" i="6" s="1"/>
  <c r="N7" i="6"/>
  <c r="V25" i="6"/>
  <c r="AC5" i="6"/>
  <c r="AC35" i="6"/>
  <c r="AA28" i="6"/>
  <c r="X18" i="6"/>
  <c r="AC18" i="6"/>
  <c r="AA34" i="6"/>
  <c r="AA37" i="6" s="1"/>
  <c r="P36" i="6" s="1"/>
  <c r="V34" i="6"/>
  <c r="N18" i="6"/>
  <c r="V17" i="6"/>
  <c r="V20" i="6" s="1"/>
  <c r="P18" i="6" s="1"/>
  <c r="V35" i="6"/>
  <c r="AC36" i="6"/>
  <c r="AA25" i="6"/>
  <c r="AA29" i="6" s="1"/>
  <c r="P27" i="6" s="1"/>
  <c r="X19" i="6"/>
  <c r="AC19" i="6"/>
  <c r="N35" i="6"/>
  <c r="X25" i="6"/>
  <c r="N6" i="6"/>
  <c r="V36" i="6"/>
  <c r="V27" i="6"/>
  <c r="O19" i="6"/>
  <c r="V6" i="6"/>
  <c r="AA6" i="6"/>
  <c r="N36" i="6"/>
  <c r="N19" i="6"/>
  <c r="AA5" i="6"/>
  <c r="X35" i="6"/>
  <c r="V28" i="6"/>
  <c r="O18" i="6"/>
  <c r="O20" i="6" s="1"/>
  <c r="O21" i="6" s="1"/>
  <c r="V7" i="6"/>
  <c r="AA7" i="6"/>
  <c r="AC34" i="6"/>
  <c r="AC37" i="6" s="1"/>
  <c r="Q36" i="6" s="1"/>
  <c r="X17" i="6"/>
  <c r="X20" i="6" s="1"/>
  <c r="Q18" i="6" s="1"/>
  <c r="X5" i="6"/>
  <c r="X36" i="6"/>
  <c r="X27" i="6"/>
  <c r="AC27" i="6"/>
  <c r="X6" i="6"/>
  <c r="AC6" i="6"/>
  <c r="AC7" i="6"/>
  <c r="O26" i="6"/>
  <c r="O28" i="6" s="1"/>
  <c r="O30" i="6" s="1"/>
  <c r="AA17" i="6"/>
  <c r="AA20" i="6" s="1"/>
  <c r="P19" i="6" s="1"/>
  <c r="V5" i="6"/>
  <c r="V8" i="6" s="1"/>
  <c r="P6" i="6" s="1"/>
  <c r="O36" i="6"/>
  <c r="X28" i="6"/>
  <c r="AC28" i="6"/>
  <c r="X7" i="6"/>
  <c r="N26" i="6"/>
  <c r="AC17" i="6"/>
  <c r="AC20" i="6" s="1"/>
  <c r="Q19" i="6" s="1"/>
  <c r="X34" i="6"/>
  <c r="X37" i="6" s="1"/>
  <c r="Q35" i="6" s="1"/>
  <c r="Q37" i="6" s="1"/>
  <c r="G11" i="1"/>
  <c r="G4" i="1"/>
  <c r="G9" i="1"/>
  <c r="Q38" i="6" l="1"/>
  <c r="X8" i="6"/>
  <c r="Q6" i="6" s="1"/>
  <c r="AA8" i="6"/>
  <c r="P7" i="6" s="1"/>
  <c r="P8" i="6" s="1"/>
  <c r="P9" i="6" s="1"/>
  <c r="N8" i="6"/>
  <c r="N9" i="6" s="1"/>
  <c r="S6" i="6"/>
  <c r="P20" i="6"/>
  <c r="P21" i="6" s="1"/>
  <c r="AC8" i="6"/>
  <c r="Q7" i="6" s="1"/>
  <c r="S7" i="6" s="1"/>
  <c r="AC29" i="6"/>
  <c r="Q27" i="6" s="1"/>
  <c r="Q20" i="6"/>
  <c r="Q21" i="6" s="1"/>
  <c r="S19" i="6"/>
  <c r="X29" i="6"/>
  <c r="Q26" i="6" s="1"/>
  <c r="Q28" i="6" s="1"/>
  <c r="Q30" i="6" s="1"/>
  <c r="S18" i="6"/>
  <c r="S20" i="6" s="1"/>
  <c r="S21" i="6" s="1"/>
  <c r="N20" i="6"/>
  <c r="N21" i="6" s="1"/>
  <c r="V29" i="6"/>
  <c r="P26" i="6" s="1"/>
  <c r="P28" i="6" s="1"/>
  <c r="P30" i="6" s="1"/>
  <c r="S27" i="6"/>
  <c r="N28" i="6"/>
  <c r="N30" i="6" s="1"/>
  <c r="S26" i="6"/>
  <c r="S28" i="6" s="1"/>
  <c r="S30" i="6" s="1"/>
  <c r="S36" i="6"/>
  <c r="N37" i="6"/>
  <c r="V37" i="6"/>
  <c r="P35" i="6" s="1"/>
  <c r="P37" i="6" s="1"/>
  <c r="O37" i="6"/>
  <c r="O38" i="6" l="1"/>
  <c r="O51" i="6"/>
  <c r="P38" i="6"/>
  <c r="P51" i="6"/>
  <c r="S8" i="6"/>
  <c r="S9" i="6" s="1"/>
  <c r="N51" i="6"/>
  <c r="N38" i="6"/>
  <c r="S35" i="6"/>
  <c r="S37" i="6" s="1"/>
  <c r="Q8" i="6"/>
  <c r="Q9" i="6" s="1"/>
  <c r="Q51" i="6"/>
  <c r="S38" i="6" l="1"/>
  <c r="S51" i="6"/>
  <c r="S52" i="6" s="1"/>
</calcChain>
</file>

<file path=xl/comments1.xml><?xml version="1.0" encoding="utf-8"?>
<comments xmlns="http://schemas.openxmlformats.org/spreadsheetml/2006/main">
  <authors>
    <author>Alex</author>
  </authors>
  <commentList>
    <comment ref="B29" authorId="0" shapeId="0">
      <text>
        <r>
          <rPr>
            <b/>
            <sz val="9"/>
            <color indexed="81"/>
            <rFont val="Tahoma"/>
            <family val="2"/>
          </rPr>
          <t>Alex:</t>
        </r>
        <r>
          <rPr>
            <sz val="9"/>
            <color indexed="81"/>
            <rFont val="Tahoma"/>
            <family val="2"/>
          </rPr>
          <t xml:space="preserve">
Financial close date 2013 but deal may have been approved 2012</t>
        </r>
      </text>
    </comment>
    <comment ref="B30" authorId="0" shapeId="0">
      <text>
        <r>
          <rPr>
            <b/>
            <sz val="9"/>
            <color indexed="81"/>
            <rFont val="Tahoma"/>
            <family val="2"/>
          </rPr>
          <t>Alex:</t>
        </r>
        <r>
          <rPr>
            <sz val="9"/>
            <color indexed="81"/>
            <rFont val="Tahoma"/>
            <family val="2"/>
          </rPr>
          <t xml:space="preserve">
Financial close date 2013 but deal may have been approved 2012</t>
        </r>
      </text>
    </comment>
    <comment ref="B31" authorId="0" shapeId="0">
      <text>
        <r>
          <rPr>
            <b/>
            <sz val="9"/>
            <color indexed="81"/>
            <rFont val="Tahoma"/>
            <family val="2"/>
          </rPr>
          <t>Alex:</t>
        </r>
        <r>
          <rPr>
            <sz val="9"/>
            <color indexed="81"/>
            <rFont val="Tahoma"/>
            <family val="2"/>
          </rPr>
          <t xml:space="preserve">
Financial close date 2013 but deal may have been approved 2012</t>
        </r>
      </text>
    </comment>
  </commentList>
</comments>
</file>

<file path=xl/sharedStrings.xml><?xml version="1.0" encoding="utf-8"?>
<sst xmlns="http://schemas.openxmlformats.org/spreadsheetml/2006/main" count="666" uniqueCount="279">
  <si>
    <t>Electricity Production</t>
  </si>
  <si>
    <t>Institution name</t>
  </si>
  <si>
    <t>Domestic</t>
  </si>
  <si>
    <t>International</t>
  </si>
  <si>
    <t>Project</t>
  </si>
  <si>
    <t>Description</t>
  </si>
  <si>
    <t>Fossil Fuel Sector</t>
  </si>
  <si>
    <t>Value</t>
  </si>
  <si>
    <t>Period</t>
  </si>
  <si>
    <t>Recipient Country</t>
  </si>
  <si>
    <t>PF Institution</t>
  </si>
  <si>
    <t>Coal</t>
  </si>
  <si>
    <t>Oil</t>
  </si>
  <si>
    <t>Gas</t>
  </si>
  <si>
    <t>Totals 2013/2014</t>
  </si>
  <si>
    <t>Subsidy</t>
  </si>
  <si>
    <t>Subsidy type</t>
  </si>
  <si>
    <t>Direct spending</t>
  </si>
  <si>
    <t xml:space="preserve">Source </t>
  </si>
  <si>
    <t>Notes</t>
  </si>
  <si>
    <t>Estimated annual amount, million USD</t>
  </si>
  <si>
    <t>Spain</t>
  </si>
  <si>
    <t>Australia</t>
  </si>
  <si>
    <t>Annual avg. fossil fuel finance</t>
  </si>
  <si>
    <t>Subtotal domestic</t>
  </si>
  <si>
    <t>Subtotal international</t>
  </si>
  <si>
    <t>Jordan</t>
  </si>
  <si>
    <t>Saudi Arabia</t>
  </si>
  <si>
    <t>Turkey</t>
  </si>
  <si>
    <t>Nigeria</t>
  </si>
  <si>
    <t>Mexico</t>
  </si>
  <si>
    <t>Oil and Gas</t>
  </si>
  <si>
    <t>Natural Gas</t>
  </si>
  <si>
    <t>Exploration - Fossil</t>
  </si>
  <si>
    <t>OECD 2015</t>
  </si>
  <si>
    <t>Coal mining and capital facilities</t>
  </si>
  <si>
    <t>OECD 2015 (2011 was most recent year for which estimate was available; used 2011 exchange rate)</t>
  </si>
  <si>
    <t>Stage</t>
  </si>
  <si>
    <t>"The Korean Government has supported domestic producers of anthracite coal for decades. This support has usually been provided in several different ways, including through market price support, subsidies for acquiring capital equipment, subsidies for the exploration of coal resources, and support of a more general nature. 
The present measure covers that part of government assistance that is provided in the form of direct subsidies for the capital investment."</t>
  </si>
  <si>
    <t>"The policies included under this general heading comprise government funding for helping former coal miners by way of welfare programmes, the treatment of pneumoconiosis (i.e. the so-called "black-lung disease" that affects coal miners), accident-compensation insurance, and elementary education and scholarship funds for miners’ children. Some support is also provided to alleviate the economic and social impacts of mine closures. "</t>
  </si>
  <si>
    <t>Support for coal briquette produciton</t>
  </si>
  <si>
    <t>Production</t>
  </si>
  <si>
    <t>KRW to USD XR 2013</t>
  </si>
  <si>
    <t>KRW to USD XR 2014</t>
  </si>
  <si>
    <t>R&amp;D - Funding for "Renewable Energy"</t>
  </si>
  <si>
    <t>R&amp;D - Funding for Resource Technologies</t>
  </si>
  <si>
    <t>"Government support for the production of coal briquettes in Korea is provided in several different ways and reporting a complete breakdown would not be practical. For that reason, this inventory groups together several measures under the same general heading of "Support for Coal-Briquette Production". These various measures generally involve the direct subsidisation of unit costs for manufacturing and freight incurred by producers of coal briquettes. Support is expected to be phased out progressively and terminated by the end of 2020 as indicated in Korea’s submissions to the G-20 under the 2009 Pittsburgh commitment to phase out "inefficient fossil-fuel subsidies that encourage wasteful consumption." </t>
  </si>
  <si>
    <t>Targeted energy source</t>
  </si>
  <si>
    <t>2013 estimate</t>
  </si>
  <si>
    <t>2014 estimate</t>
  </si>
  <si>
    <t>Total National Subsidies</t>
  </si>
  <si>
    <t>http://www.platts.com/latest-news/oil/seoul/s-korea-to-offer-refiners-incentives-to-diversify-26832228</t>
  </si>
  <si>
    <t>"The government will provide subsidies to refiners to import crude oil from the Americas, Africa and Europe to compensate for freight differentials between the Persian Gulf and other regions, the official said." While the measure was expected to begin in September of 2014, no data is available on the cost of the measure to date</t>
  </si>
  <si>
    <t>Field decommissioning</t>
  </si>
  <si>
    <t>Exploration</t>
  </si>
  <si>
    <t>Plant planning and construction</t>
  </si>
  <si>
    <t>Plant operation</t>
  </si>
  <si>
    <t>Export-Import Bank of Korea</t>
  </si>
  <si>
    <t>Korea Finance Corporation</t>
  </si>
  <si>
    <t>Korea Trade Insurance Corporation</t>
  </si>
  <si>
    <t>Korea Development Bank</t>
  </si>
  <si>
    <t>Pemex credit line</t>
  </si>
  <si>
    <t>Songa North Sea oil drilling</t>
  </si>
  <si>
    <t>Stena deep-water oil drilling rigs</t>
  </si>
  <si>
    <t>Teekay North Sea oil production</t>
  </si>
  <si>
    <t>Indonesia Off-gas Power Plant Project</t>
  </si>
  <si>
    <t>Al Manakher IPP</t>
  </si>
  <si>
    <t>Cochrane Coal-fired Power Plant</t>
  </si>
  <si>
    <t xml:space="preserve">US Sabine Pass LNG Project </t>
  </si>
  <si>
    <t>Vietnam Nghi Son Refinery and Petrochemical Project</t>
  </si>
  <si>
    <t>Cirebon Thermal Power Plant Project Expansion</t>
  </si>
  <si>
    <t>Jeddah South Oil-fired power plant</t>
  </si>
  <si>
    <t>Vinh Tan 4 Coal-Fired Power Plant Project</t>
  </si>
  <si>
    <t>ACWA Power Kirikkale Natural Gas Combined Cycle Power Plant &amp; Overhead Transmission Line Project</t>
  </si>
  <si>
    <t>Kelar CCGT Power Project</t>
  </si>
  <si>
    <t>ACWA Kirikkale CCGT Power Plant</t>
  </si>
  <si>
    <t>$2 billion credit line to Pemex</t>
  </si>
  <si>
    <t>Oil drilling in Norway's North Sea</t>
  </si>
  <si>
    <t>Loan and guarantee to Stena for deep-water oil drilling rigs</t>
  </si>
  <si>
    <t>Oil production in Norway's North Sea</t>
  </si>
  <si>
    <t>Extraction and production</t>
  </si>
  <si>
    <t>Coal Mining Inherited Social Liabilities</t>
  </si>
  <si>
    <t>Financing the development of a 570-600W power plant at Almanakher in Jordan. The plant, using Wartsila diesel engine generators, is capable of running both on heavy fuel oil and gas. The project will be co-located with the IPP4 project. A 25-year BOO concession has been awarded to a consortium of KEPCO, Mitsubishi Corporation and Wartsila Oyj. The project has a 25-year offtake agreement with Jordan's National Electric Power Company (NEPCO).</t>
  </si>
  <si>
    <t>Financing for the 472MW Cochrane coal-fired power plant in Chile, the first IPP in the country financed by JBIC. Output will be sold to mines in the region such as Sierra Gorda SCM and SQM under 20-year PPAs.</t>
  </si>
  <si>
    <t>The Bank also contributed USD 750 million in financing to USâ€™s Sabine Pass LNG Project, which involves building an LNG terminal with four trains in the Gulf of Mexico in  Louisiana, to build and operate a natural gas liquefaction facility with an annual production capacity of 18 million tons. This USD 12.6 billion project was especially notable in  that four government-mandated financial institutions including the Bank partnered up with six Korean commercial banks to participate jointly in an overseas project for the  first time in history. Korea will be able to secure energy resources at a much lower price than before by seizing the opportunity presented by the US's first ever LNG export  project.</t>
  </si>
  <si>
    <t>Cirebon Thermal Power Plant Project Expansion (1,000 MW coal power plant)</t>
  </si>
  <si>
    <t>"This programme provides annual funding in support of R&amp;D projects connected to exploration technologies for oil and other mineral resources. </t>
  </si>
  <si>
    <t>"The Korean Government contributes funding for R&amp;D projects in relation to Integrated-Gasification Combined-Cycle (IGCC) technologies as part of its renewable-energy research programme. </t>
  </si>
  <si>
    <t>KRW to USD XR 2011</t>
  </si>
  <si>
    <t>Incentives to refiners for diversification of crude imports</t>
  </si>
  <si>
    <t>Downstream</t>
  </si>
  <si>
    <t>Not available</t>
  </si>
  <si>
    <t>Financing a new oil-fired 2,640MW power plant in Jeddah South in Saudi Arabia. The Jeddah South plant will consist of four conventional oil-fired thermal generators, each with a capacity of around 660MW. Hyundai and Mitsubishi won the engineering, procurement and construction contract for the project in October 2012. The facility will be used to finance eligible goods and services provided under the lump sum turnkey contract between Saudi Electricity Company and Hyundai Heavy Industries Co., Ltd, the sole EPC Contractor with responsibility for engineering, procurement, construction, testing and commissioning of the project. Based on the Red Sea coast, approximately 35 km to the south of Jeddah and 135 km north of Jazan.</t>
  </si>
  <si>
    <t>Vinh Tan 4 Coal-Fired Power Plant Project (1,200 MW)</t>
  </si>
  <si>
    <t>Construction of Thermal Power Plants</t>
  </si>
  <si>
    <t>Construction of a Natural Gas Combined Cycle Plant &amp; Overhead Transmission Line in Kirikkale, Turkey</t>
  </si>
  <si>
    <t>The financing (long term) will be used for the construction of a 517MW combined cycle gas Turbine plant in Mejillones, Chile. Located in the industrial district of Mejillones, north of Antofagasta, the plant will generate power for the North Interconnected System (SING). The plant was originally to be coal-fired, plans for which were approved by authorities in 2007, but it later evolved into a CCGT plant in order to support clean energy in the country, however, it will also use diesel as a backup option. KOSPO and Samsung C&amp;T are the sponsors of the project and will make an investment of $125m through their own resources. Debt financing amounts to $476.60m. The loan will be funded by K-Exim, Natixis, BTMU, Mizuho and SMBC.</t>
  </si>
  <si>
    <t>The financing is used for the development of the 950MW combined cycle power plant located approximately 50km east of Ankara, near the city of Kirikkale in Central Anatolia, Turkey. The project is developed by ACWA Power's Turkish subsidiary Acwa Guc Elektrik Isletme ve Yonetim Sanayi ve Ticaret. EBRD has provided $200m and syndicated $50m to Banque Saudi Fransi which also provided $100m debt financing under Islamic loan. The International Finance Corporation (IFC) also provided loan of $170m, out of which $45m is syndicated to the Korea Development Bank. Korea Eximbank and Standard Chartered Bank, with cover from Korea Eximbank also provided debt funding for the project. The sponor has invested an equity amount of roughly $330m.</t>
  </si>
  <si>
    <t>Norway</t>
  </si>
  <si>
    <t>Sweden</t>
  </si>
  <si>
    <t>Indonesia</t>
  </si>
  <si>
    <t>Chile</t>
  </si>
  <si>
    <t>United States</t>
  </si>
  <si>
    <t>Viet Nam</t>
  </si>
  <si>
    <t>Refining</t>
  </si>
  <si>
    <t>Reuters (2013) â€˜Mexicoâ€™s Pemex Inks $2B Credit Line Deal with Korea Eximbankâ€™. Reuters, 16 October. (http://goo.
gl/s6ZVGa)</t>
  </si>
  <si>
    <t>Korea Eximbank (2014) â€˜Korea Eximbank to Extend
Its First Ship Financing of the Yearâ€™. Seoul: Korea
Eximbank. (http://goo.gl/sX9jt8)</t>
  </si>
  <si>
    <t>Korea Eximbank (2013) â€˜Korea Eximbank Provides USD 340 Million Ship Financing to Stenaâ€™. Seoul: Korea Eximbank. (http://goo.gl/mTVP4X)</t>
  </si>
  <si>
    <t>Korea Eximbank (2013) â€™Public and Private-Sector
Banks in Korea and Beyond Team Up to Boost Korean
Ship Exportsâ€™. Seoul: Korea Eximbank. (http://goo.
gl/9L3mL4)</t>
  </si>
  <si>
    <t>http://www.koreaexim.go.kr/en/bbs/noti/view.jsp?no=11522&amp;bbs_code_id=1316753474007&amp;bbs_code_tp=BBS_2, http://www.koreaexim.go.kr/en/exim/investor/report.jsp</t>
  </si>
  <si>
    <t>http://www.koreaexim.go.kr/en/bbs/noti/view.jsp?no=11522&amp;bbs_code_id=1316753474007&amp;bbs_code_tp=BBS_2</t>
  </si>
  <si>
    <t>http://www.ijonline.com/data/transaction/19237/472mw-cochrane-coal-fired-power-plant</t>
  </si>
  <si>
    <t>http://www.koreaexim.go.kr/en/exim/investor/report.jsp, http://www.koreaexim.go.kr/en/bbs/noti/view.jsp?no=12030&amp;bbs_code_id=1316753474007&amp;bbs_code_tp=BBS_2</t>
  </si>
  <si>
    <t>http://www.koreaexim.go.kr/en/exim/investor/report.jsp, http://www.tradefinancemagazine.com/Article/3216761/Nghi-Son-refinery-financing-closes.html</t>
  </si>
  <si>
    <t>NRDC, http://www.tradefinancemagazine.com/Article/3268136/Search/Results/JBIC-and-Kexim-to-fund-Indonesian-coal-plant.html?Keywords=coal</t>
  </si>
  <si>
    <t>http://www.talkvietnam.com/2014/03/thermal-power-plant-started-to-be-built-in-binh-thuan/#.UyM3sPldV8E</t>
  </si>
  <si>
    <t>http://www.koreaexim.go.kr/en/banking/export/loan_03_03.jsp</t>
  </si>
  <si>
    <t>http://www.koreaexim.go.kr/en/banking/export/loan_03_03.jsp, http://www.ijonline.com/data/transaction/32540/950mw-acwa-kirikkale-ccgt-power-plant</t>
  </si>
  <si>
    <t>http://www.ijonline.com/data/transaction/32540/950mw-acwa-kirikkale-ccgt-power-plant</t>
  </si>
  <si>
    <t>Turkmen Kiyanly Project</t>
  </si>
  <si>
    <t>Turkmenistan</t>
  </si>
  <si>
    <t>The financing will be used for the development of the Turkmen Kiyanly gas-to-liquids plant in Kiyanly, Turkmenistan. The debt financing amounts to $2537m. KEXIM, K-Sure, JBIC and NEXI provided a loan of $694.3m, $1100m, $438m and $292m provided. SMBC provided a debt of $146m. It also involves an equity investment of $463m provided by LG International and Hyundai Engineering &amp; Construction.</t>
  </si>
  <si>
    <t>https://ijglobal.com/data/transaction/30799/turkmen-kiyanly-project</t>
  </si>
  <si>
    <t xml:space="preserve">Financing for construction of a 13,300 b/d base oil production plant in Cartagena, Spain. The plant, located next to the Repsol refinery in Cartagena, will use products from the Repsol industrial complexes in Tarragona and Cartagena. </t>
  </si>
  <si>
    <t>SKSOL Cartagena lubricants plant financing</t>
  </si>
  <si>
    <t>https://ijglobal.com/data/transaction/28262/sksol-cartagena-lubricants-plant-financing</t>
  </si>
  <si>
    <t>The Bank also contributed USD 750 million in financing to US's Sabine Pass LNG Project, which involves building an LNG terminal with four trains in the Gulf of Mexico in  Louisiana, to build and operate a natural gas liquefaction facility with an annual production capacity of 18 million tons. This USD 12.6 billion project was especially notable in  that four government-mandated financial institutions including the Bank partnered up with six Korean commercial banks to participate jointly in an overseas project for the  first time in history. Korea will be able to secure energy resources at a much lower price than before by seizing the opportunity presented by the US's first ever LNG export  project.</t>
  </si>
  <si>
    <t>Ichthys LNG Financing</t>
  </si>
  <si>
    <t>Financing the US$34 billion Ichthys LNG project which involves the construction of offshore facilities producing natural gas and gas condensate from the Ichthys Field in the Browse Basin, off the coast of Western Australia and onshore facilities 885 km away at Blaydin Point, near Darwin, Northern Australia.</t>
  </si>
  <si>
    <t>Production and refining</t>
  </si>
  <si>
    <t>https://ijglobal.com/data/transaction/15429/ichthys-lng-financing</t>
  </si>
  <si>
    <t xml:space="preserve">Boryeong LNG Terminal
</t>
  </si>
  <si>
    <t xml:space="preserve">The financing will be used for the development of an LNG importing terminal facility in Boryeong, Chungnam Province, Republic of Korea. The financing includes a term loan of $1117.20m. The project is sponsored by SK E&amp;S Co. Ltd and GS Energy Corporation.
</t>
  </si>
  <si>
    <t>https://ijglobal.com/data/transaction/26447/boryeong-lng-terminal</t>
  </si>
  <si>
    <t>Transportation</t>
  </si>
  <si>
    <t>Surgil Petrochemical and Natural Gas Complex</t>
  </si>
  <si>
    <t>Uzbekistan</t>
  </si>
  <si>
    <t>Uzbekistan's first project financing. The project involves development of the Surgil gas field and the construction of the Usyurt Gas Chemical Complex located in the Usyurt region of the Republic of Uzbekistan.</t>
  </si>
  <si>
    <t>https://ijglobal.com/data/transaction/19142/surgil-petrochemical-and-natural-gas-complex-financing</t>
  </si>
  <si>
    <t xml:space="preserve">Golar LNG financing for the first 8 of its 13 newbuild vessels and FSRUs. </t>
  </si>
  <si>
    <t>UK</t>
  </si>
  <si>
    <t>The financing will be used for the development of the Donggi-Senoro LNG project in Central Sulawesi province, Indonesia. The project is 59.9% owned by Sulawesi LNG Development, a 75:25 joint venture between Mitsubishi and Kogas, 29% by Pertamina and 11.1% by Medco</t>
  </si>
  <si>
    <t>Donggi Senoro LNG Liquefaction Project</t>
  </si>
  <si>
    <t>Seadrill West Neptune, West Saturn and West Jupiter Drillships Financing</t>
  </si>
  <si>
    <t xml:space="preserve">The financing will be used for the development of three drill ships -West Neptune, West Saturn and West Jupiter. The sponsor for the project is SeaDrill. </t>
  </si>
  <si>
    <t xml:space="preserve">Teekay Knarr FPSO Refinancing 2014
</t>
  </si>
  <si>
    <t xml:space="preserve">The proceeds of the financing will be used for the development of the Teekay Knaar FPSO to operate in the NCS under a charter agreement with the field operator BG Norge. The FPSO will work in the Knarr field, in the Northern North Sea. </t>
  </si>
  <si>
    <t>https://ijglobal.com/data/transaction/30919/teekay-knarr-fpso-refinancing-2014</t>
  </si>
  <si>
    <t>https://ijglobal.com/data/transaction/31332/seadrill-west-neptune-west-saturn-and-west-jupiter-drillships-financing</t>
  </si>
  <si>
    <t>https://ijglobal.com/data/transaction/32282/donggi-senoro-lng-liquefaction-project</t>
  </si>
  <si>
    <t>https://ijglobal.com/data/transaction/27603/bonny-gas-lng-vessels-financing-2013</t>
  </si>
  <si>
    <t>https://ijglobal.com/data/transaction/28363/golar-lng-newbuild-fsru-portoflio-financing</t>
  </si>
  <si>
    <t>Nghi Son Oil Refinery and Petrochemicals Complex</t>
  </si>
  <si>
    <t>inancing the Nghi Son development, which will be Vietnam’s second-largest refinery with a processing capacity of 200,000 barrels per day (bpd)</t>
  </si>
  <si>
    <t>https://ijglobal.com/data/transaction/15757/nghi-son-oil-refinery-and-petrochemicals-complex-2013</t>
  </si>
  <si>
    <t>USD 1.45 billion senior secured credit facility to finance 80% of the construction cost of 3 drillships to be delivered from the Samsung Heavy Industry shipyard in Korea during 2013.</t>
  </si>
  <si>
    <t>Exploration and production</t>
  </si>
  <si>
    <t>https://ijglobal.com/data/transaction/26386/seadrill-drillships-financing-2013</t>
  </si>
  <si>
    <t xml:space="preserve">The financing will be used for the construction and operation of a crude oil refinery which will have a capacity of 10 million tonnes per annum (mtpa) and will be located on the Aegean coast, close to Izmir, Turkey. </t>
  </si>
  <si>
    <t>STAR Rafineri Crude Oil Refinery</t>
  </si>
  <si>
    <t>https://ijglobal.com/data/transaction/26519/star-rafineri-crude-oil-refinery</t>
  </si>
  <si>
    <t>Kraken FPSO</t>
  </si>
  <si>
    <t xml:space="preserve">The  financing will be used for a floating production, storage and offloading (FPSO) vessel. The FPSO will have a total storage capacity of 600,000 barrels, and a peak fluid rate of 460,000 barrels per day. </t>
  </si>
  <si>
    <t>Malaysia</t>
  </si>
  <si>
    <t>https://ijglobal.com/data/transaction/26527/kraken-fpso</t>
  </si>
  <si>
    <t>Lampung FPSO</t>
  </si>
  <si>
    <t xml:space="preserve">Höegh LNG has signed financing for the US$310 million Lampung LNG floating storage and regasification unit bound for Indonesia. The LNG vessel will be operated by Höegh and leased to state-controlled utility Perusahaan Gas Negara for 20 years with two five-year extension options. </t>
  </si>
  <si>
    <t>https://ijglobal.com/data/transaction/27882/lampung-lng-fsru-financing</t>
  </si>
  <si>
    <t>Thai Binh 2 Coal Power Plant</t>
  </si>
  <si>
    <t>Envi Disclosure</t>
  </si>
  <si>
    <t>Electricity production</t>
  </si>
  <si>
    <t>Jorf Lasfar IPP Expansion</t>
  </si>
  <si>
    <t>Golar LNG Newbuild FSRU Portoflio Financing</t>
  </si>
  <si>
    <t>Bonny Gas LNG Vessels Financing 2013</t>
  </si>
  <si>
    <t>Proceeds will be used to finance the construction of six LNG vessels from South Korea. Bonny Gas Transport (“BGT”) owns and operates a fleet of 13 LNG vessels that are used to transport liquefied natural gas (“LNG”) from Nigeria to the international markets with a focus on Asia.</t>
  </si>
  <si>
    <t>KNOC</t>
  </si>
  <si>
    <t>https://ijglobal.com/data/transaction/19493/jorf-lasfar-ipp-expansion</t>
  </si>
  <si>
    <t>Morocco</t>
  </si>
  <si>
    <t xml:space="preserve">Expansion of Jorf Lasfar, Morocco's first IPP. Taqa will add two 350MW supercritical turbines to the coal project, located southwest of Casablanca. </t>
  </si>
  <si>
    <t>Upstream</t>
  </si>
  <si>
    <t>Fiscal Year</t>
  </si>
  <si>
    <t>Recipient Countries</t>
  </si>
  <si>
    <t>Upstream Coal (mil USD)</t>
  </si>
  <si>
    <t>Downstream Coal (mil USD)</t>
  </si>
  <si>
    <t>Upstream Oil&amp;Gas (mil USD)</t>
  </si>
  <si>
    <t>Downstream Oil&amp;Gas (mil USD)</t>
  </si>
  <si>
    <t>Total financing amount (million USD)</t>
  </si>
  <si>
    <t>Total Amount</t>
  </si>
  <si>
    <t>Total Average per Year</t>
  </si>
  <si>
    <t xml:space="preserve">Upstream natural gas </t>
  </si>
  <si>
    <t>Downstream natural gas</t>
  </si>
  <si>
    <t>Upstream oil</t>
  </si>
  <si>
    <t>Downstream oil</t>
  </si>
  <si>
    <t>Upstream oil and gas</t>
  </si>
  <si>
    <t>Downstram oil and gas</t>
  </si>
  <si>
    <t>Total upstream O&amp;G</t>
  </si>
  <si>
    <t>Total downstream O&amp;G</t>
  </si>
  <si>
    <t>Korea ExIm</t>
  </si>
  <si>
    <t>Korea ExIm 2013 O&amp;G</t>
  </si>
  <si>
    <t>Korea ExIm 2014 O&amp;G</t>
  </si>
  <si>
    <t>Korea Trade Insurance Corporation 2013 O&amp;G</t>
  </si>
  <si>
    <t>Korea Trade Insurance Corporation 2013  O&amp;G</t>
  </si>
  <si>
    <t>Korea Development Bank 2013 O&amp;G</t>
  </si>
  <si>
    <t>Korea Development Bank 2014 O&amp;G</t>
  </si>
  <si>
    <t>Korea Financ Corporation 2014 O&amp;G</t>
  </si>
  <si>
    <t>Korea Finance Corporation 2013 O&amp;G</t>
  </si>
  <si>
    <t>TOTAL</t>
  </si>
  <si>
    <t>MDB share</t>
  </si>
  <si>
    <t>Total amount</t>
  </si>
  <si>
    <t>Totals</t>
  </si>
  <si>
    <t>Sohar Refinery Expansion</t>
  </si>
  <si>
    <t>Oman</t>
  </si>
  <si>
    <t xml:space="preserve">The financing will be used for the Sohar refinery expansion and for refinancing existing debt. </t>
  </si>
  <si>
    <t>https://ijglobal.com/articles/91814/orpic-reaches-financial-close-on-sohar-refinery</t>
  </si>
  <si>
    <t>http://www.koreaexim.go.kr/en/bbs/noti/view.jsp?no=14213&amp;bbs_code_id=1316753474007&amp;bbs_code_tp=BBS_2&amp;req_pg=2</t>
  </si>
  <si>
    <t>Petrochemical production</t>
  </si>
  <si>
    <t>http://www.koreaexim.go.kr/en/bbs/noti/view.jsp?no=13097&amp;bbs_code_id=1316753474007&amp;bbs_code_tp=BBS_2&amp;req_pg=8</t>
  </si>
  <si>
    <t>http://www.koreaexim.go.kr/en/bbs/noti/view.jsp?no=11366&amp;bbs_code_id=1316753474007&amp;bbs_code_tp=BBS_2&amp;req_pg=21</t>
  </si>
  <si>
    <t>UAE</t>
  </si>
  <si>
    <t>http://www.koreaexim.go.kr/en/bbs/noti/view.jsp?no=11741&amp;bbs_code_id=1316753474007&amp;bbs_code_tp=BBS_2&amp;req_pg=19</t>
  </si>
  <si>
    <t>Seadrill Drillships Financing 2013</t>
  </si>
  <si>
    <t>Capital expenditure for fossil fuel generating assets only</t>
  </si>
  <si>
    <t>Capital expenditure</t>
  </si>
  <si>
    <t>Project / investment</t>
  </si>
  <si>
    <t>The project involves constructing a 1,100 MW CCGT power plant inside the world’s largest aluminum smelting factory located in Taweelah Industrial Zone, UAE.</t>
  </si>
  <si>
    <t>http://www.koreaexim.go.kr/en/bbs/noti/view.jsp?no=11944&amp;bbs_code_id=1316753474007&amp;bbs_code_tp=BBS_2&amp;req_pg=16</t>
  </si>
  <si>
    <t>The Export-Import Bank of Korea (www.koreaexim.go.kr, Chairman Kim Yong-hwan, “Korea Eximbank”) announced on April 14 that it is providing a PF loan* of USD 400 million to a petrochemical project in Sadara, Saudi Arabia.</t>
  </si>
  <si>
    <t>Jubail Petrochemical Complex</t>
  </si>
  <si>
    <t>Taweelah CCGT</t>
  </si>
  <si>
    <t>http://www.koreaexim.go.kr/en/bbs/noti/view.jsp?no=12485&amp;bbs_code_id=1316753474007&amp;bbs_code_tp=BBS_2&amp;req_pg=11</t>
  </si>
  <si>
    <t>Iraq</t>
  </si>
  <si>
    <t>Akkas Gas Field Project</t>
  </si>
  <si>
    <t>The Export-Import Bank of Korea (www.koreaexim.go.kr, Chairman Kim Yong-hwan, ‘Korea Eximbank’) announced on September 16 that it will provide a USD 117 million guarantee for the Akkas Gas Field Project in Iraq</t>
  </si>
  <si>
    <t>KEPCO</t>
  </si>
  <si>
    <t xml:space="preserve">KEPCO Investor Presentation (September 2015) https://home.kepco.co.kr/kepco/cmmn/fms/FileDown.do?atchFileId=FILE_000000021105080&amp;fileSn=1 
</t>
  </si>
  <si>
    <t>KOCOAL</t>
  </si>
  <si>
    <t>NA</t>
  </si>
  <si>
    <t>SOE Investment (USD million  - except where otherwise indicated)</t>
  </si>
  <si>
    <t>Public finance summary (USD million - except where otherwise indicated)</t>
  </si>
  <si>
    <t>KOGAS</t>
  </si>
  <si>
    <t>2013 KOREA NATIONAL OIL CORPORATION AND SUBSIDIARIES Consolidated Financial Statements - http://www.knoc.co.kr/filedown.jsp?fileno=16&amp;filepath=/upload/data/sub02/</t>
  </si>
  <si>
    <t>Korea Gas Corporation and Subsidiaries Consolidated Financial Statements, December 31, 2014 and 2013 - downloaded at http://www.kogas.or.kr/en/investors/financial/statements.action</t>
  </si>
  <si>
    <t>Acquisition of property, plant, and equipment (million USD)</t>
  </si>
  <si>
    <t>Name of SOE</t>
  </si>
  <si>
    <t>Source:</t>
  </si>
  <si>
    <t>Investment</t>
  </si>
  <si>
    <t>Capital expenditure (as acquisition of property, plant, and equipment)</t>
  </si>
  <si>
    <t>Oil and gas</t>
  </si>
  <si>
    <t>Coal and gas</t>
  </si>
  <si>
    <t>Investment (USD million)</t>
  </si>
  <si>
    <t>Average</t>
  </si>
  <si>
    <t>The loan agreements include a $330 million direct loan with KEXIM, $270 million KEXIM guaranteed loan with the Bank of Tokyo-Mitsubishi UFJ, Ltd (BTMU), CITI bank, HSBC bank, Mizuho bank, Standard Chartered Bank (SCB), and Oversea Chinese Banking Corporation (OCBC)" -- see: http://vietnamnews.vn/economy/248733/thermal-power-project-warms-up.html ; Power plant size. See: http://www.aurecongroup.com/en/projects/resources/vinh-tan-2-coal-fired-power-plant.aspx</t>
    <phoneticPr fontId="6" type="noConversion"/>
  </si>
  <si>
    <t>Public finance domestic (full) (USD  - except where otherwise indicated)</t>
  </si>
  <si>
    <t>Korea</t>
    <phoneticPr fontId="4" type="noConversion"/>
  </si>
  <si>
    <t>Public finance international (full) (USD  - except where otherwise indicated)</t>
  </si>
  <si>
    <t>Source</t>
    <phoneticPr fontId="4" type="noConversion"/>
  </si>
  <si>
    <t>The authors welcome feedback on the full report, on the country study, and on this data sheet to improve the accuracy and transparency of information on G20 government support to fossil fuel production.</t>
  </si>
  <si>
    <t>Contents:</t>
  </si>
  <si>
    <t>National subsidies</t>
  </si>
  <si>
    <t>SOE investment</t>
  </si>
  <si>
    <t>Public finance (summary)</t>
  </si>
  <si>
    <t>Public finance (domestic - full)</t>
  </si>
  <si>
    <t>Public finance (international - full)</t>
  </si>
  <si>
    <r>
      <t>The Export-Import Bank of Korea (www.koreaexim.go.kr, Chairman Yong Hwan Kim, â€œKorea Eximbankâ€</t>
    </r>
    <r>
      <rPr>
        <sz val="10"/>
        <color indexed="8"/>
        <rFont val="Calibri"/>
        <family val="2"/>
      </rPr>
      <t></t>
    </r>
    <r>
      <rPr>
        <sz val="10"/>
        <color indexed="8"/>
        <rFont val="Arial"/>
        <family val="2"/>
      </rPr>
      <t>) announced on February 14 that it is providing USD 194 million in project financing* for Indonesiaâ€™s off-gas** power plant project.
* While traditional corporate loans are secured by the creditworthiness of the project sponsor, project finance loans are secured by project assets only and repaid mostly from cash flows generated by the project (sponsors are thus shielded from the risk of project failure).
** Off-gas: gas occurring as a by-product in the process of producing steel. An off-gas power plant burns off-gas collected from steel plants to generate electricity.
As sole lender, Korea Eximbank will finance 70% of the cost of this USD 277 million project, in which Posco Energy is participating as project sponsor and Posco Engineering &amp; Construction as EPC contractor*. 
* Contractor responsible for the engineering, procurement, and construction part of a project. 
This project is aimed at building an off-gas power plant in the vicinity of the future site of Poscoâ€™s integrated steel mill in Cilegon city situated 110 km West of Jakarta, Indonesia. Once the project is completed, 1.5 trillion kWh of electricity will be produced from 5.5 trillion ãŽ¥ of off-gas annually produced in the integrated mill; the electricity thus generated will then be fully supplied back to the steel mill. 
This will be the first project in which a Korean company builds an off-gas power plant. It would also have a high environmental protection value, since it would serve the dual purpose of recycling waste gas and reducing air pollution. Another anticipated benefit is its effect in terms of replacing fossil fuels such as coal, translating into a 1 million ton reduction in annual CO2 emission.
For these reasons, efforts are under way to have this project registered as a Clean Development Mechanism* project by the Secretariat of the United Nations Framework Convention on Climate Change (UNFCCC).
* Clean Development Mechanism (CDM): an arrangement under the Kyoto Protocol allowing emission-reducing projects in developing countries to earn certified emission reduction (CER) credits, which developed countries can purchase in order to meet part of their emission reduction commitments.
A Korea Eximbank official remarked, â€œThis project has great significance in that Korea Eximbank is providing project financing as sole lender for a green project led by a Korean firm, based on a thorough assessment of its feasibility and profitability. This will lay the foundation for the global expansion of Koreaâ€™s green industry players.â€</t>
    </r>
    <r>
      <rPr>
        <sz val="10"/>
        <color indexed="8"/>
        <rFont val="Calibri"/>
        <family val="2"/>
      </rPr>
      <t></t>
    </r>
  </si>
  <si>
    <t>Upstream/ downstream</t>
    <phoneticPr fontId="4" type="noConversion"/>
  </si>
  <si>
    <t>Total</t>
  </si>
  <si>
    <t>Coal mining</t>
    <phoneticPr fontId="10" type="noConversion"/>
  </si>
  <si>
    <t xml:space="preserve">Coal fired power </t>
    <phoneticPr fontId="10" type="noConversion"/>
  </si>
  <si>
    <t>Upstream oil and gas</t>
    <phoneticPr fontId="10" type="noConversion"/>
  </si>
  <si>
    <t>Oil and gas pipelines, power plants and refineries</t>
    <phoneticPr fontId="10" type="noConversion"/>
  </si>
  <si>
    <t xml:space="preserve">Total fossil fuel finance 2013 &amp; 2014 </t>
    <phoneticPr fontId="4" type="noConversion"/>
  </si>
  <si>
    <t>Multilateral development bank share</t>
    <phoneticPr fontId="4" type="noConversion"/>
  </si>
  <si>
    <t>National subsidies (million USD  - except where otherwise indicated)</t>
  </si>
  <si>
    <r>
      <t>Disclosure, Korea Coal Corporation. Available at http://www.alio.go.kr/pop/popup3.do?apbaid=C0057&amp;nowcode=3130</t>
    </r>
    <r>
      <rPr>
        <u/>
        <sz val="10"/>
        <color indexed="12"/>
        <rFont val="Arial"/>
        <family val="2"/>
      </rPr>
      <t>)</t>
    </r>
    <r>
      <rPr>
        <sz val="10"/>
        <color indexed="8"/>
        <rFont val="Arial"/>
        <family val="2"/>
      </rPr>
      <t xml:space="preserve">
(http://www.alio.go.kr/pop/popup3.do?apbaid=C0057&amp;nowcode=3160</t>
    </r>
  </si>
  <si>
    <t>G20 SUBSIDIES FOR OIL, GAS AND COAL PRODUCTION: REPUBLIC OF KOREA</t>
  </si>
  <si>
    <r>
      <t xml:space="preserve">This data sheet is a background paper to the report </t>
    </r>
    <r>
      <rPr>
        <i/>
        <sz val="10"/>
        <rFont val="Arial"/>
        <family val="2"/>
      </rPr>
      <t>Empty promises: G20 subsidies to oil, gas and coal production</t>
    </r>
    <r>
      <rPr>
        <sz val="10"/>
        <rFont val="Arial"/>
        <family val="2"/>
      </rPr>
      <t xml:space="preserve"> by Oil Change International (OCI) and the Overseas Development Institute (ODI). It builds on the research completed for the report </t>
    </r>
    <r>
      <rPr>
        <i/>
        <sz val="10"/>
        <rFont val="Arial"/>
        <family val="2"/>
      </rPr>
      <t>The fossil fuel bailout: G20 subsidies to oil, gas and coal exploration</t>
    </r>
    <r>
      <rPr>
        <sz val="10"/>
        <rFont val="Arial"/>
        <family val="2"/>
      </rPr>
      <t>, published in 2014.</t>
    </r>
  </si>
  <si>
    <r>
      <t xml:space="preserve">For the purpose of this report, production subsidies for fossil fuels include: national subsidies, investment by state-owned enterprises (SOEs), and public finance. The full report provides a detailed discussion of technical and transparency issues in identifying fossil production subsidies, and outlines the methodology used in this desk-based study. </t>
    </r>
    <r>
      <rPr>
        <b/>
        <sz val="10"/>
        <color indexed="8"/>
        <rFont val="Arial"/>
        <family val="2"/>
      </rPr>
      <t>In addition, a brief outline of the methodology used in this report is also in the country summary.</t>
    </r>
  </si>
  <si>
    <t xml:space="preserve">Read the full report: http://odi.org/empty-promises  </t>
  </si>
  <si>
    <t>Read the Korea country study: http://www.odi.org/publications/10081-g20-subsidies-oil-gas-coal-production-republic-korea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</si>
</sst>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_(&quot;$&quot;* #,##0_);_(&quot;$&quot;* \(#,##0\);_(&quot;$&quot;* &quot;-&quot;??_);_(@_)"/>
    <numFmt numFmtId="167" formatCode="_(* #,##0_);_(* \(#,##0\);_(* &quot;-&quot;??_);_(@_)"/>
  </numFmts>
  <fonts count="21" x14ac:knownFonts="1">
    <font>
      <sz val="12"/>
      <color theme="1"/>
      <name val="Calibri"/>
      <family val="2"/>
      <scheme val="minor"/>
    </font>
    <font>
      <u/>
      <sz val="12"/>
      <color theme="10"/>
      <name val="Calibri"/>
      <family val="2"/>
      <scheme val="minor"/>
    </font>
    <font>
      <u/>
      <sz val="12"/>
      <color theme="11"/>
      <name val="Calibri"/>
      <family val="2"/>
      <scheme val="minor"/>
    </font>
    <font>
      <sz val="10"/>
      <color indexed="8"/>
      <name val="Arial"/>
      <family val="2"/>
    </font>
    <font>
      <sz val="8"/>
      <name val="Verdana"/>
      <family val="2"/>
    </font>
    <font>
      <sz val="12"/>
      <color theme="1"/>
      <name val="Calibri"/>
      <family val="2"/>
      <scheme val="minor"/>
    </font>
    <font>
      <b/>
      <sz val="11"/>
      <color rgb="FFFA7D00"/>
      <name val="Calibri"/>
      <family val="2"/>
      <scheme val="minor"/>
    </font>
    <font>
      <sz val="9"/>
      <color indexed="81"/>
      <name val="Tahoma"/>
      <family val="2"/>
    </font>
    <font>
      <b/>
      <sz val="9"/>
      <color indexed="81"/>
      <name val="Tahoma"/>
      <family val="2"/>
    </font>
    <font>
      <sz val="10"/>
      <name val="Verdana"/>
      <family val="2"/>
    </font>
    <font>
      <sz val="11"/>
      <color indexed="8"/>
      <name val="Calibri"/>
      <family val="2"/>
    </font>
    <font>
      <sz val="12"/>
      <color indexed="8"/>
      <name val="Calibri"/>
      <family val="2"/>
    </font>
    <font>
      <b/>
      <sz val="10"/>
      <color indexed="8"/>
      <name val="Arial"/>
      <family val="2"/>
    </font>
    <font>
      <b/>
      <sz val="10"/>
      <color indexed="62"/>
      <name val="Arial"/>
      <family val="2"/>
    </font>
    <font>
      <sz val="10"/>
      <name val="Arial"/>
      <family val="2"/>
    </font>
    <font>
      <sz val="10"/>
      <color indexed="8"/>
      <name val="Calibri"/>
      <family val="2"/>
    </font>
    <font>
      <u/>
      <sz val="10"/>
      <color indexed="12"/>
      <name val="Arial"/>
      <family val="2"/>
    </font>
    <font>
      <sz val="10"/>
      <color theme="1"/>
      <name val="Arial"/>
      <family val="2"/>
    </font>
    <font>
      <i/>
      <sz val="10"/>
      <color indexed="8"/>
      <name val="Arial"/>
      <family val="2"/>
    </font>
    <font>
      <b/>
      <sz val="10"/>
      <color theme="1"/>
      <name val="Arial"/>
      <family val="2"/>
    </font>
    <font>
      <i/>
      <sz val="10"/>
      <name val="Arial"/>
      <family val="2"/>
    </font>
  </fonts>
  <fills count="5">
    <fill>
      <patternFill patternType="none"/>
    </fill>
    <fill>
      <patternFill patternType="gray125"/>
    </fill>
    <fill>
      <patternFill patternType="solid">
        <fgColor indexed="22"/>
        <bgColor indexed="64"/>
      </patternFill>
    </fill>
    <fill>
      <patternFill patternType="solid">
        <fgColor theme="9"/>
        <bgColor indexed="64"/>
      </patternFill>
    </fill>
    <fill>
      <patternFill patternType="solid">
        <fgColor theme="0"/>
        <bgColor indexed="64"/>
      </patternFill>
    </fill>
  </fills>
  <borders count="3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auto="1"/>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164" fontId="5" fillId="0" borderId="0" applyFont="0" applyFill="0" applyBorder="0" applyAlignment="0" applyProtection="0"/>
    <xf numFmtId="0" fontId="9" fillId="0" borderId="0"/>
    <xf numFmtId="165" fontId="11" fillId="0" borderId="0" applyFont="0" applyFill="0" applyBorder="0" applyAlignment="0" applyProtection="0"/>
    <xf numFmtId="0" fontId="1" fillId="0" borderId="0" applyNumberFormat="0" applyFill="0" applyBorder="0" applyAlignment="0" applyProtection="0"/>
  </cellStyleXfs>
  <cellXfs count="123">
    <xf numFmtId="0" fontId="0" fillId="0" borderId="0" xfId="0"/>
    <xf numFmtId="0" fontId="3" fillId="0" borderId="9" xfId="0" applyFont="1" applyFill="1" applyBorder="1" applyAlignment="1">
      <alignment horizontal="left" vertical="top"/>
    </xf>
    <xf numFmtId="0" fontId="3" fillId="0" borderId="8" xfId="0" applyFont="1" applyFill="1" applyBorder="1" applyAlignment="1">
      <alignment horizontal="left" vertical="top"/>
    </xf>
    <xf numFmtId="0" fontId="3" fillId="0" borderId="0" xfId="0" applyFont="1"/>
    <xf numFmtId="0" fontId="3" fillId="0" borderId="0" xfId="0" applyFont="1" applyAlignment="1">
      <alignment horizontal="justify" vertical="center"/>
    </xf>
    <xf numFmtId="0" fontId="13" fillId="0" borderId="0" xfId="0" applyFont="1" applyBorder="1" applyAlignment="1">
      <alignment horizontal="left" vertical="center"/>
    </xf>
    <xf numFmtId="0" fontId="3" fillId="0" borderId="0" xfId="0" applyFont="1" applyFill="1"/>
    <xf numFmtId="2" fontId="3" fillId="0" borderId="9" xfId="0" applyNumberFormat="1" applyFont="1" applyFill="1" applyBorder="1" applyAlignment="1">
      <alignment horizontal="left" vertical="top" readingOrder="1"/>
    </xf>
    <xf numFmtId="2" fontId="3" fillId="0" borderId="8" xfId="0" applyNumberFormat="1" applyFont="1" applyFill="1" applyBorder="1" applyAlignment="1">
      <alignment horizontal="left" vertical="top"/>
    </xf>
    <xf numFmtId="2" fontId="3" fillId="0" borderId="9" xfId="0" applyNumberFormat="1" applyFont="1" applyFill="1" applyBorder="1" applyAlignment="1">
      <alignment horizontal="left" vertical="top"/>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wrapText="1"/>
    </xf>
    <xf numFmtId="0" fontId="13" fillId="0" borderId="0" xfId="0" applyFont="1" applyAlignment="1">
      <alignment vertical="center"/>
    </xf>
    <xf numFmtId="0" fontId="3" fillId="0" borderId="0" xfId="0" applyFont="1" applyFill="1" applyAlignment="1">
      <alignment wrapText="1"/>
    </xf>
    <xf numFmtId="0" fontId="3" fillId="0" borderId="0" xfId="0" applyFont="1" applyAlignment="1"/>
    <xf numFmtId="0" fontId="12" fillId="0" borderId="0" xfId="0" applyFont="1" applyAlignment="1"/>
    <xf numFmtId="0" fontId="12" fillId="0" borderId="21" xfId="0" applyFont="1" applyBorder="1" applyAlignment="1"/>
    <xf numFmtId="0" fontId="3" fillId="0" borderId="22" xfId="0" applyFont="1" applyBorder="1" applyAlignment="1"/>
    <xf numFmtId="0" fontId="3" fillId="0" borderId="23" xfId="0" applyFont="1" applyBorder="1" applyAlignment="1"/>
    <xf numFmtId="0" fontId="3" fillId="0" borderId="7" xfId="0" applyFont="1" applyBorder="1" applyAlignment="1"/>
    <xf numFmtId="0" fontId="3" fillId="0" borderId="0" xfId="0" applyFont="1" applyBorder="1" applyAlignment="1"/>
    <xf numFmtId="0" fontId="3" fillId="0" borderId="20" xfId="0" applyFont="1" applyBorder="1" applyAlignment="1"/>
    <xf numFmtId="0" fontId="3" fillId="0" borderId="24" xfId="0" applyFont="1" applyBorder="1" applyAlignment="1"/>
    <xf numFmtId="0" fontId="3" fillId="0" borderId="19" xfId="0" applyFont="1" applyBorder="1" applyAlignment="1"/>
    <xf numFmtId="0" fontId="3" fillId="0" borderId="4" xfId="0" applyFont="1" applyBorder="1" applyAlignment="1"/>
    <xf numFmtId="0" fontId="12" fillId="0" borderId="4" xfId="0" applyFont="1" applyBorder="1" applyAlignment="1"/>
    <xf numFmtId="0" fontId="3" fillId="0" borderId="10" xfId="0" applyFont="1" applyBorder="1" applyAlignment="1"/>
    <xf numFmtId="0" fontId="3" fillId="0" borderId="10" xfId="0" applyFont="1" applyFill="1" applyBorder="1" applyAlignment="1"/>
    <xf numFmtId="0" fontId="14" fillId="0" borderId="10" xfId="4" applyFont="1" applyFill="1" applyBorder="1" applyAlignment="1"/>
    <xf numFmtId="0" fontId="16" fillId="0" borderId="10" xfId="1" applyFont="1" applyFill="1" applyBorder="1" applyAlignment="1" applyProtection="1"/>
    <xf numFmtId="166" fontId="14" fillId="0" borderId="10" xfId="3" applyNumberFormat="1" applyFont="1" applyFill="1" applyBorder="1" applyAlignment="1"/>
    <xf numFmtId="0" fontId="12" fillId="0" borderId="28" xfId="0" applyFont="1" applyFill="1" applyBorder="1" applyAlignment="1">
      <alignment horizontal="center" wrapText="1"/>
    </xf>
    <xf numFmtId="0" fontId="12" fillId="0" borderId="29" xfId="0" applyFont="1" applyFill="1" applyBorder="1" applyAlignment="1">
      <alignment horizontal="center" wrapText="1"/>
    </xf>
    <xf numFmtId="0" fontId="12" fillId="0" borderId="30" xfId="0" applyFont="1" applyFill="1" applyBorder="1" applyAlignment="1">
      <alignment wrapText="1"/>
    </xf>
    <xf numFmtId="0" fontId="12" fillId="0" borderId="29" xfId="0" applyFont="1" applyBorder="1" applyAlignment="1">
      <alignment horizontal="center" wrapText="1"/>
    </xf>
    <xf numFmtId="167" fontId="3" fillId="0" borderId="10" xfId="5" applyNumberFormat="1" applyFont="1" applyBorder="1" applyAlignment="1"/>
    <xf numFmtId="167" fontId="3" fillId="0" borderId="0" xfId="5" applyNumberFormat="1" applyFont="1" applyAlignment="1">
      <alignment horizontal="left"/>
    </xf>
    <xf numFmtId="0" fontId="12" fillId="0" borderId="0" xfId="0" applyFont="1" applyAlignment="1">
      <alignment horizontal="center" vertical="center" wrapText="1"/>
    </xf>
    <xf numFmtId="0" fontId="3" fillId="0" borderId="0" xfId="0" applyFont="1" applyAlignment="1">
      <alignment wrapText="1"/>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27" xfId="0" applyFont="1" applyBorder="1" applyAlignment="1">
      <alignment horizontal="left" vertical="top"/>
    </xf>
    <xf numFmtId="0" fontId="3" fillId="0" borderId="0" xfId="0" applyFont="1" applyAlignment="1">
      <alignment horizontal="left" vertical="top"/>
    </xf>
    <xf numFmtId="0" fontId="3" fillId="0" borderId="12" xfId="0" applyFont="1" applyBorder="1" applyAlignment="1"/>
    <xf numFmtId="0" fontId="3" fillId="0" borderId="13" xfId="0" applyFont="1" applyBorder="1" applyAlignment="1"/>
    <xf numFmtId="167" fontId="3" fillId="0" borderId="13" xfId="5" applyNumberFormat="1" applyFont="1" applyBorder="1" applyAlignment="1"/>
    <xf numFmtId="0" fontId="3" fillId="0" borderId="14" xfId="0" applyFont="1" applyBorder="1" applyAlignment="1"/>
    <xf numFmtId="0" fontId="3" fillId="0" borderId="15" xfId="0" applyFont="1" applyBorder="1" applyAlignment="1"/>
    <xf numFmtId="0" fontId="3" fillId="0" borderId="16" xfId="0" applyFont="1" applyBorder="1" applyAlignment="1"/>
    <xf numFmtId="0" fontId="16" fillId="0" borderId="16" xfId="1" applyFont="1" applyBorder="1" applyAlignment="1"/>
    <xf numFmtId="0" fontId="14" fillId="0" borderId="15" xfId="4" applyFont="1" applyFill="1" applyBorder="1" applyAlignment="1"/>
    <xf numFmtId="0" fontId="16" fillId="0" borderId="16" xfId="1" applyFont="1" applyFill="1" applyBorder="1" applyAlignment="1" applyProtection="1"/>
    <xf numFmtId="0" fontId="16" fillId="0" borderId="16" xfId="1" applyFont="1" applyFill="1" applyBorder="1" applyAlignment="1"/>
    <xf numFmtId="0" fontId="3" fillId="0" borderId="17" xfId="0" applyFont="1" applyBorder="1" applyAlignment="1"/>
    <xf numFmtId="0" fontId="3" fillId="0" borderId="18" xfId="0" applyFont="1" applyBorder="1" applyAlignment="1"/>
    <xf numFmtId="0" fontId="3" fillId="0" borderId="18" xfId="0" applyFont="1" applyFill="1" applyBorder="1" applyAlignment="1"/>
    <xf numFmtId="167" fontId="3" fillId="0" borderId="18" xfId="5" applyNumberFormat="1" applyFont="1" applyBorder="1" applyAlignment="1"/>
    <xf numFmtId="0" fontId="3" fillId="0" borderId="27" xfId="0" applyFont="1" applyBorder="1" applyAlignment="1"/>
    <xf numFmtId="0" fontId="13" fillId="0" borderId="0" xfId="0" applyFont="1" applyBorder="1" applyAlignment="1">
      <alignment horizontal="left" vertical="center" wrapText="1"/>
    </xf>
    <xf numFmtId="0" fontId="13" fillId="0" borderId="0" xfId="0" applyFont="1" applyAlignment="1">
      <alignment vertical="center"/>
    </xf>
    <xf numFmtId="0" fontId="17" fillId="0" borderId="0" xfId="0" applyFont="1" applyFill="1"/>
    <xf numFmtId="0" fontId="17" fillId="0" borderId="4" xfId="0" applyFont="1" applyFill="1" applyBorder="1" applyAlignment="1">
      <alignment horizontal="left" vertical="top"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2" fontId="12" fillId="0" borderId="4" xfId="0" applyNumberFormat="1" applyFont="1" applyFill="1" applyBorder="1" applyAlignment="1">
      <alignment vertical="center" wrapText="1"/>
    </xf>
    <xf numFmtId="2" fontId="17" fillId="0" borderId="0" xfId="0" applyNumberFormat="1" applyFont="1" applyFill="1"/>
    <xf numFmtId="0" fontId="3" fillId="0" borderId="0" xfId="0" applyFont="1" applyFill="1" applyBorder="1"/>
    <xf numFmtId="0" fontId="17" fillId="0" borderId="0" xfId="0" applyFont="1" applyFill="1" applyBorder="1"/>
    <xf numFmtId="0" fontId="17" fillId="0" borderId="0" xfId="0" applyFont="1" applyFill="1" applyBorder="1" applyAlignment="1">
      <alignment horizontal="left" vertical="top" wrapText="1"/>
    </xf>
    <xf numFmtId="0" fontId="14" fillId="0" borderId="11" xfId="0" applyFont="1" applyFill="1" applyBorder="1" applyAlignment="1">
      <alignment horizontal="left" vertical="top" wrapText="1" readingOrder="1"/>
    </xf>
    <xf numFmtId="0" fontId="14" fillId="0" borderId="4" xfId="0" applyFont="1" applyFill="1" applyBorder="1" applyAlignment="1">
      <alignment horizontal="left" vertical="top" wrapText="1" readingOrder="1"/>
    </xf>
    <xf numFmtId="0" fontId="14" fillId="0" borderId="0" xfId="0" applyFont="1" applyAlignment="1">
      <alignment wrapText="1" readingOrder="1"/>
    </xf>
    <xf numFmtId="2" fontId="3" fillId="0" borderId="11" xfId="0" applyNumberFormat="1" applyFont="1" applyFill="1" applyBorder="1" applyAlignment="1">
      <alignment horizontal="left" vertical="top" readingOrder="1"/>
    </xf>
    <xf numFmtId="2" fontId="3" fillId="0" borderId="31" xfId="0" applyNumberFormat="1" applyFont="1" applyFill="1" applyBorder="1" applyAlignment="1">
      <alignment horizontal="left" vertical="top"/>
    </xf>
    <xf numFmtId="0" fontId="12" fillId="0" borderId="9"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3" fillId="0" borderId="33" xfId="0" applyFont="1" applyFill="1" applyBorder="1" applyAlignment="1">
      <alignment horizontal="left" vertical="top" readingOrder="1"/>
    </xf>
    <xf numFmtId="0" fontId="17" fillId="0" borderId="2" xfId="0" applyFont="1" applyFill="1" applyBorder="1" applyAlignment="1">
      <alignment horizontal="left" vertical="top" wrapText="1"/>
    </xf>
    <xf numFmtId="0" fontId="3" fillId="0" borderId="2" xfId="0" applyFont="1" applyFill="1" applyBorder="1" applyAlignment="1">
      <alignment horizontal="left" vertical="top"/>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2" fontId="18" fillId="0" borderId="4" xfId="0" applyNumberFormat="1" applyFont="1" applyFill="1" applyBorder="1" applyAlignment="1">
      <alignment vertical="center" wrapText="1"/>
    </xf>
    <xf numFmtId="0" fontId="1" fillId="0" borderId="0" xfId="6"/>
    <xf numFmtId="0" fontId="17" fillId="0" borderId="0" xfId="0" applyFont="1"/>
    <xf numFmtId="0" fontId="12" fillId="0" borderId="10" xfId="0" applyFont="1" applyBorder="1" applyAlignment="1">
      <alignment horizontal="center" vertical="center" wrapText="1"/>
    </xf>
    <xf numFmtId="0" fontId="17" fillId="0" borderId="10" xfId="0" applyFont="1" applyBorder="1"/>
    <xf numFmtId="0" fontId="17" fillId="0" borderId="10" xfId="0" applyFont="1" applyBorder="1" applyAlignment="1">
      <alignment wrapText="1"/>
    </xf>
    <xf numFmtId="3" fontId="17" fillId="0" borderId="10" xfId="0" applyNumberFormat="1" applyFont="1" applyBorder="1"/>
    <xf numFmtId="0" fontId="3" fillId="0" borderId="10" xfId="0" applyFont="1" applyBorder="1" applyAlignment="1">
      <alignment vertical="center" wrapText="1"/>
    </xf>
    <xf numFmtId="0" fontId="19" fillId="0" borderId="10" xfId="0" applyFont="1" applyFill="1" applyBorder="1"/>
    <xf numFmtId="0" fontId="19" fillId="0" borderId="10" xfId="0" applyFont="1" applyBorder="1"/>
    <xf numFmtId="3" fontId="19" fillId="0" borderId="10" xfId="0" applyNumberFormat="1" applyFont="1" applyBorder="1"/>
    <xf numFmtId="0" fontId="12" fillId="0" borderId="1" xfId="0" applyFont="1" applyBorder="1" applyAlignment="1">
      <alignment horizontal="center" wrapText="1"/>
    </xf>
    <xf numFmtId="0" fontId="12" fillId="0" borderId="3" xfId="0" applyFont="1" applyBorder="1" applyAlignment="1">
      <alignment horizontal="center" wrapText="1"/>
    </xf>
    <xf numFmtId="0" fontId="12" fillId="0" borderId="26" xfId="0" applyFont="1" applyBorder="1" applyAlignment="1">
      <alignment horizontal="center" wrapText="1"/>
    </xf>
    <xf numFmtId="0" fontId="3" fillId="0" borderId="10" xfId="0" applyFont="1" applyBorder="1" applyAlignment="1">
      <alignment horizontal="left" wrapText="1"/>
    </xf>
    <xf numFmtId="0" fontId="3" fillId="0" borderId="10" xfId="0" applyFont="1" applyBorder="1" applyAlignment="1">
      <alignment horizontal="right" wrapText="1"/>
    </xf>
    <xf numFmtId="0" fontId="12" fillId="2" borderId="10" xfId="0" applyFont="1" applyFill="1" applyBorder="1" applyAlignment="1">
      <alignment horizontal="left" wrapText="1"/>
    </xf>
    <xf numFmtId="0" fontId="12" fillId="2" borderId="10" xfId="0" applyFont="1" applyFill="1" applyBorder="1" applyAlignment="1">
      <alignment horizontal="right" wrapText="1"/>
    </xf>
    <xf numFmtId="0" fontId="3" fillId="0" borderId="10" xfId="0" applyFont="1" applyBorder="1" applyAlignment="1">
      <alignment horizontal="left" vertical="center" wrapText="1"/>
    </xf>
    <xf numFmtId="167" fontId="3" fillId="0" borderId="10" xfId="5" applyNumberFormat="1" applyFont="1" applyBorder="1" applyAlignment="1">
      <alignment horizontal="right" vertical="center" wrapText="1"/>
    </xf>
    <xf numFmtId="167" fontId="17" fillId="0" borderId="0" xfId="0" applyNumberFormat="1" applyFont="1"/>
    <xf numFmtId="0" fontId="3" fillId="0" borderId="10" xfId="0" applyFont="1" applyFill="1" applyBorder="1" applyAlignment="1">
      <alignment horizontal="left" wrapText="1"/>
    </xf>
    <xf numFmtId="167" fontId="12" fillId="2" borderId="10" xfId="5" applyNumberFormat="1" applyFont="1" applyFill="1" applyBorder="1" applyAlignment="1">
      <alignment horizontal="right" wrapText="1"/>
    </xf>
    <xf numFmtId="0" fontId="12" fillId="0" borderId="10" xfId="0" applyFont="1" applyFill="1" applyBorder="1" applyAlignment="1">
      <alignment wrapText="1"/>
    </xf>
    <xf numFmtId="0" fontId="12" fillId="0" borderId="10" xfId="0" applyFont="1" applyFill="1" applyBorder="1" applyAlignment="1">
      <alignment horizontal="right" wrapText="1"/>
    </xf>
    <xf numFmtId="1" fontId="12" fillId="0" borderId="10" xfId="0" applyNumberFormat="1" applyFont="1" applyFill="1" applyBorder="1" applyAlignment="1">
      <alignment horizontal="right" wrapText="1"/>
    </xf>
    <xf numFmtId="167" fontId="12" fillId="2" borderId="10" xfId="0" applyNumberFormat="1" applyFont="1" applyFill="1" applyBorder="1" applyAlignment="1">
      <alignment horizontal="right" wrapText="1"/>
    </xf>
    <xf numFmtId="3" fontId="12" fillId="2" borderId="10" xfId="0" applyNumberFormat="1" applyFont="1" applyFill="1" applyBorder="1" applyAlignment="1">
      <alignment horizontal="right" wrapText="1"/>
    </xf>
    <xf numFmtId="3" fontId="12" fillId="0" borderId="0" xfId="0" applyNumberFormat="1" applyFont="1"/>
    <xf numFmtId="0" fontId="13" fillId="0" borderId="0"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25" xfId="0" applyFont="1" applyBorder="1" applyAlignment="1">
      <alignment horizontal="center" wrapText="1"/>
    </xf>
    <xf numFmtId="0" fontId="12" fillId="0" borderId="10" xfId="0" applyFont="1" applyBorder="1" applyAlignment="1">
      <alignment horizontal="center" wrapText="1"/>
    </xf>
    <xf numFmtId="0" fontId="13" fillId="0" borderId="0" xfId="0" applyFont="1" applyAlignment="1">
      <alignment vertical="center"/>
    </xf>
    <xf numFmtId="0" fontId="12" fillId="3" borderId="0" xfId="0" applyFont="1" applyFill="1" applyAlignment="1">
      <alignment vertical="center"/>
    </xf>
    <xf numFmtId="0" fontId="14" fillId="0" borderId="0" xfId="0" applyFont="1" applyAlignment="1">
      <alignment horizontal="justify" vertical="center" wrapText="1"/>
    </xf>
    <xf numFmtId="0" fontId="1" fillId="4" borderId="0" xfId="6" applyFill="1" applyAlignment="1">
      <alignment horizontal="justify" vertical="center"/>
    </xf>
    <xf numFmtId="0" fontId="12" fillId="0" borderId="0" xfId="0" applyFont="1"/>
  </cellXfs>
  <cellStyles count="7">
    <cellStyle name="Comma" xfId="5" builtinId="3"/>
    <cellStyle name="Currency" xfId="3" builtinId="4"/>
    <cellStyle name="Followed Hyperlink" xfId="2" builtinId="9" hidden="1"/>
    <cellStyle name="Hyperlink" xfId="1" builtinId="8" hidden="1"/>
    <cellStyle name="Hyperlink" xfId="6" builtinId="8"/>
    <cellStyle name="Normal" xfId="0" builtinId="0"/>
    <cellStyle name="Normal 3" xfId="4"/>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odi.org/publications/10081-g20-subsidies-oil-gas-coal-production-republic-korea" TargetMode="External"/><Relationship Id="rId1" Type="http://schemas.openxmlformats.org/officeDocument/2006/relationships/hyperlink" Target="http://www.odi.org/empty-promis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http://www.koreaexim.go.kr/en/bbs/noti/view.jsp?no=14213&amp;bbs_code_id=1316753474007&amp;bbs_code_tp=BBS_2&amp;req_pg=2" TargetMode="External"/><Relationship Id="rId3" Type="http://schemas.openxmlformats.org/officeDocument/2006/relationships/hyperlink" Target="https://ijglobal.com/data/transaction/28363/golar-lng-newbuild-fsru-portoflio-financing" TargetMode="External"/><Relationship Id="rId7" Type="http://schemas.openxmlformats.org/officeDocument/2006/relationships/hyperlink" Target="https://ijglobal.com/articles/91814/orpic-reaches-financial-close-on-sohar-refinery" TargetMode="External"/><Relationship Id="rId2" Type="http://schemas.openxmlformats.org/officeDocument/2006/relationships/hyperlink" Target="https://ijglobal.com/data/transaction/28363/golar-lng-newbuild-fsru-portoflio-financing" TargetMode="External"/><Relationship Id="rId1" Type="http://schemas.openxmlformats.org/officeDocument/2006/relationships/hyperlink" Target="https://ijglobal.com/data/transaction/28363/golar-lng-newbuild-fsru-portoflio-financing" TargetMode="External"/><Relationship Id="rId6" Type="http://schemas.openxmlformats.org/officeDocument/2006/relationships/hyperlink" Target="https://ijglobal.com/articles/91814/orpic-reaches-financial-close-on-sohar-refinery" TargetMode="External"/><Relationship Id="rId5" Type="http://schemas.openxmlformats.org/officeDocument/2006/relationships/hyperlink" Target="http://www.koreaexim.go.kr/en/banking/export/loan_03_03.jsp" TargetMode="External"/><Relationship Id="rId10" Type="http://schemas.openxmlformats.org/officeDocument/2006/relationships/comments" Target="../comments1.xml"/><Relationship Id="rId4" Type="http://schemas.openxmlformats.org/officeDocument/2006/relationships/hyperlink" Target="http://vietnamnews.vn/economy/248733/thermal-power-project-warms-up.html"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7"/>
  <sheetViews>
    <sheetView tabSelected="1" topLeftCell="B1" workbookViewId="0">
      <selection activeCell="B1" sqref="B1"/>
    </sheetView>
  </sheetViews>
  <sheetFormatPr defaultColWidth="8.75" defaultRowHeight="12.75" x14ac:dyDescent="0.2"/>
  <cols>
    <col min="1" max="1" width="8.75" style="3"/>
    <col min="2" max="2" width="112.75" style="3" customWidth="1"/>
    <col min="3" max="16384" width="8.75" style="3"/>
  </cols>
  <sheetData>
    <row r="1" spans="2:2" ht="36" customHeight="1" x14ac:dyDescent="0.2">
      <c r="B1" s="119" t="s">
        <v>274</v>
      </c>
    </row>
    <row r="3" spans="2:2" ht="38.25" x14ac:dyDescent="0.2">
      <c r="B3" s="120" t="s">
        <v>275</v>
      </c>
    </row>
    <row r="4" spans="2:2" ht="51" x14ac:dyDescent="0.2">
      <c r="B4" s="4" t="s">
        <v>276</v>
      </c>
    </row>
    <row r="5" spans="2:2" ht="25.5" x14ac:dyDescent="0.2">
      <c r="B5" s="4" t="s">
        <v>256</v>
      </c>
    </row>
    <row r="6" spans="2:2" x14ac:dyDescent="0.2">
      <c r="B6" s="4"/>
    </row>
    <row r="7" spans="2:2" ht="15.75" x14ac:dyDescent="0.25">
      <c r="B7" s="86" t="s">
        <v>277</v>
      </c>
    </row>
    <row r="8" spans="2:2" ht="15.75" x14ac:dyDescent="0.2">
      <c r="B8" s="121" t="s">
        <v>278</v>
      </c>
    </row>
    <row r="10" spans="2:2" x14ac:dyDescent="0.2">
      <c r="B10" s="122" t="s">
        <v>257</v>
      </c>
    </row>
    <row r="11" spans="2:2" ht="15.75" x14ac:dyDescent="0.25">
      <c r="B11" s="86" t="s">
        <v>258</v>
      </c>
    </row>
    <row r="12" spans="2:2" ht="15.75" x14ac:dyDescent="0.25">
      <c r="B12" s="86" t="s">
        <v>259</v>
      </c>
    </row>
    <row r="13" spans="2:2" ht="15.75" x14ac:dyDescent="0.25">
      <c r="B13" s="86" t="s">
        <v>260</v>
      </c>
    </row>
    <row r="14" spans="2:2" ht="15.75" x14ac:dyDescent="0.25">
      <c r="B14" s="86" t="s">
        <v>261</v>
      </c>
    </row>
    <row r="15" spans="2:2" ht="15.75" x14ac:dyDescent="0.25">
      <c r="B15" s="86" t="s">
        <v>262</v>
      </c>
    </row>
    <row r="17" spans="2:2" ht="15.75" x14ac:dyDescent="0.25">
      <c r="B17"/>
    </row>
  </sheetData>
  <phoneticPr fontId="4" type="noConversion"/>
  <hyperlinks>
    <hyperlink ref="B11" location="'National Subsidies'!A1" display="National subsidies"/>
    <hyperlink ref="B7" r:id="rId1" display="Read the full report: www.odi.org/empty-promises  "/>
    <hyperlink ref="B8" r:id="rId2"/>
    <hyperlink ref="B12" location="'SOE Investment'!A1" display="SOE investment"/>
    <hyperlink ref="B13" location="PF_Summary!A1" display="Public finance (summary)"/>
    <hyperlink ref="B14" location="PF_Domestic_Full!A1" display="Public finance (domestic - full)"/>
    <hyperlink ref="B15" location="PF_International_Full!A1" display="Public finance (international - full)"/>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workbookViewId="0"/>
  </sheetViews>
  <sheetFormatPr defaultColWidth="11" defaultRowHeight="12.75" x14ac:dyDescent="0.2"/>
  <cols>
    <col min="1" max="1" width="31.75" style="61" customWidth="1"/>
    <col min="2" max="2" width="15.25" style="61" customWidth="1"/>
    <col min="3" max="6" width="11" style="61"/>
    <col min="7" max="7" width="11.25" style="61" bestFit="1" customWidth="1"/>
    <col min="8" max="8" width="28.875" style="61" customWidth="1"/>
    <col min="9" max="9" width="76.25" style="61" customWidth="1"/>
    <col min="10" max="11" width="11" style="61"/>
    <col min="12" max="40" width="11" style="70"/>
    <col min="41" max="16384" width="11" style="61"/>
  </cols>
  <sheetData>
    <row r="1" spans="1:40" s="6" customFormat="1" x14ac:dyDescent="0.2">
      <c r="A1" s="5" t="s">
        <v>272</v>
      </c>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row>
    <row r="2" spans="1:40" s="6" customFormat="1" ht="13.5" thickBot="1" x14ac:dyDescent="0.25">
      <c r="A2" s="5"/>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row>
    <row r="3" spans="1:40" ht="72.75" customHeight="1" thickBot="1" x14ac:dyDescent="0.25">
      <c r="A3" s="82" t="s">
        <v>15</v>
      </c>
      <c r="B3" s="83" t="s">
        <v>16</v>
      </c>
      <c r="C3" s="83" t="s">
        <v>47</v>
      </c>
      <c r="D3" s="83" t="s">
        <v>37</v>
      </c>
      <c r="E3" s="83" t="s">
        <v>48</v>
      </c>
      <c r="F3" s="83" t="s">
        <v>49</v>
      </c>
      <c r="G3" s="84" t="s">
        <v>20</v>
      </c>
      <c r="H3" s="78" t="s">
        <v>18</v>
      </c>
      <c r="I3" s="77" t="s">
        <v>19</v>
      </c>
    </row>
    <row r="4" spans="1:40" ht="77.25" thickBot="1" x14ac:dyDescent="0.25">
      <c r="A4" s="2" t="s">
        <v>35</v>
      </c>
      <c r="B4" s="62" t="s">
        <v>17</v>
      </c>
      <c r="C4" s="62" t="s">
        <v>11</v>
      </c>
      <c r="D4" s="62" t="s">
        <v>80</v>
      </c>
      <c r="E4" s="9">
        <f>6484000/1000000</f>
        <v>6.484</v>
      </c>
      <c r="F4" s="9">
        <f>6484000/1000000</f>
        <v>6.484</v>
      </c>
      <c r="G4" s="75">
        <f t="shared" ref="G4:G9" si="0">((E4+F4)/2)</f>
        <v>6.484</v>
      </c>
      <c r="H4" s="79" t="s">
        <v>36</v>
      </c>
      <c r="I4" s="72" t="s">
        <v>38</v>
      </c>
      <c r="J4" s="61" t="s">
        <v>42</v>
      </c>
      <c r="K4" s="61">
        <v>1142.933</v>
      </c>
    </row>
    <row r="5" spans="1:40" s="62" customFormat="1" ht="64.5" thickBot="1" x14ac:dyDescent="0.25">
      <c r="A5" s="2" t="s">
        <v>81</v>
      </c>
      <c r="B5" s="62" t="s">
        <v>17</v>
      </c>
      <c r="C5" s="62" t="s">
        <v>11</v>
      </c>
      <c r="D5" s="62" t="s">
        <v>53</v>
      </c>
      <c r="E5" s="7">
        <f>(77798998016/K4)/1000000</f>
        <v>68.069605143958569</v>
      </c>
      <c r="F5" s="7">
        <f>(71783997440/K5)/1000000</f>
        <v>65.36317652082937</v>
      </c>
      <c r="G5" s="75">
        <f t="shared" si="0"/>
        <v>66.716390832393969</v>
      </c>
      <c r="H5" s="80" t="s">
        <v>34</v>
      </c>
      <c r="I5" s="73" t="s">
        <v>39</v>
      </c>
      <c r="J5" s="61" t="s">
        <v>43</v>
      </c>
      <c r="K5" s="61">
        <v>1098.2329999999999</v>
      </c>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row>
    <row r="6" spans="1:40" s="62" customFormat="1" ht="102.75" thickBot="1" x14ac:dyDescent="0.25">
      <c r="A6" s="2" t="s">
        <v>40</v>
      </c>
      <c r="B6" s="62" t="s">
        <v>17</v>
      </c>
      <c r="C6" s="62" t="s">
        <v>11</v>
      </c>
      <c r="D6" s="62" t="s">
        <v>41</v>
      </c>
      <c r="E6" s="7">
        <f>(146999001088/K4)/1000000</f>
        <v>128.61558909227401</v>
      </c>
      <c r="F6" s="7">
        <f>(165950996480/K5)/1000000</f>
        <v>151.10727548707789</v>
      </c>
      <c r="G6" s="75">
        <f t="shared" si="0"/>
        <v>139.86143228967595</v>
      </c>
      <c r="H6" s="80" t="s">
        <v>34</v>
      </c>
      <c r="I6" s="74" t="s">
        <v>46</v>
      </c>
      <c r="J6" s="61"/>
      <c r="K6" s="6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row>
    <row r="7" spans="1:40" ht="26.25" thickBot="1" x14ac:dyDescent="0.25">
      <c r="A7" s="2" t="s">
        <v>45</v>
      </c>
      <c r="B7" s="62" t="s">
        <v>17</v>
      </c>
      <c r="C7" s="1" t="s">
        <v>12</v>
      </c>
      <c r="D7" s="1" t="s">
        <v>54</v>
      </c>
      <c r="E7" s="7">
        <f>(242216864/K7)/1000000</f>
        <v>0.20994278027403337</v>
      </c>
      <c r="F7" s="7">
        <f>(242216864/K7)/1000000</f>
        <v>0.20994278027403337</v>
      </c>
      <c r="G7" s="75">
        <f t="shared" si="0"/>
        <v>0.20994278027403337</v>
      </c>
      <c r="H7" s="79" t="s">
        <v>36</v>
      </c>
      <c r="I7" s="74" t="s">
        <v>86</v>
      </c>
      <c r="J7" s="61" t="s">
        <v>88</v>
      </c>
      <c r="K7" s="61">
        <v>1153.7280000000001</v>
      </c>
    </row>
    <row r="8" spans="1:40" ht="26.25" thickBot="1" x14ac:dyDescent="0.25">
      <c r="A8" s="2" t="s">
        <v>45</v>
      </c>
      <c r="B8" s="62" t="s">
        <v>17</v>
      </c>
      <c r="C8" s="1" t="s">
        <v>13</v>
      </c>
      <c r="D8" s="1" t="s">
        <v>54</v>
      </c>
      <c r="E8" s="7">
        <f>(2601583104/K7)/1000000</f>
        <v>2.2549362622732567</v>
      </c>
      <c r="F8" s="7">
        <f>(2601583104/K7)/1000000</f>
        <v>2.2549362622732567</v>
      </c>
      <c r="G8" s="75">
        <f>((E8+F8)/2)</f>
        <v>2.2549362622732567</v>
      </c>
      <c r="H8" s="79" t="s">
        <v>36</v>
      </c>
      <c r="I8" s="74" t="s">
        <v>86</v>
      </c>
    </row>
    <row r="9" spans="1:40" ht="26.25" thickBot="1" x14ac:dyDescent="0.25">
      <c r="A9" s="2" t="s">
        <v>44</v>
      </c>
      <c r="B9" s="62" t="s">
        <v>17</v>
      </c>
      <c r="C9" s="1" t="s">
        <v>11</v>
      </c>
      <c r="D9" s="1" t="s">
        <v>55</v>
      </c>
      <c r="E9" s="7">
        <f>(1349999952/K7)/1000000</f>
        <v>1.1701197786653352</v>
      </c>
      <c r="F9" s="7">
        <f>(1349999952/K7)/1000000</f>
        <v>1.1701197786653352</v>
      </c>
      <c r="G9" s="75">
        <f t="shared" si="0"/>
        <v>1.1701197786653352</v>
      </c>
      <c r="H9" s="79" t="s">
        <v>36</v>
      </c>
      <c r="I9" s="74" t="s">
        <v>87</v>
      </c>
    </row>
    <row r="10" spans="1:40" ht="51.75" thickBot="1" x14ac:dyDescent="0.25">
      <c r="A10" s="2" t="s">
        <v>89</v>
      </c>
      <c r="B10" s="2" t="s">
        <v>17</v>
      </c>
      <c r="C10" s="1" t="s">
        <v>12</v>
      </c>
      <c r="D10" s="1" t="s">
        <v>56</v>
      </c>
      <c r="E10" s="8" t="s">
        <v>91</v>
      </c>
      <c r="F10" s="8" t="s">
        <v>91</v>
      </c>
      <c r="G10" s="76" t="s">
        <v>91</v>
      </c>
      <c r="H10" s="81" t="s">
        <v>51</v>
      </c>
      <c r="I10" s="74" t="s">
        <v>52</v>
      </c>
    </row>
    <row r="11" spans="1:40" ht="13.5" thickBot="1" x14ac:dyDescent="0.25">
      <c r="A11" s="63" t="s">
        <v>50</v>
      </c>
      <c r="B11" s="64"/>
      <c r="C11" s="65"/>
      <c r="D11" s="66"/>
      <c r="E11" s="85">
        <f>SUM(E4:E9)</f>
        <v>206.80419305744516</v>
      </c>
      <c r="F11" s="85">
        <f>SUM(F4:F9)</f>
        <v>226.58945082911987</v>
      </c>
      <c r="G11" s="67">
        <f>((F11+E11)/2)</f>
        <v>216.69682194328252</v>
      </c>
    </row>
    <row r="12" spans="1:40" x14ac:dyDescent="0.2">
      <c r="E12" s="68"/>
      <c r="F12" s="68"/>
      <c r="G12" s="68"/>
    </row>
  </sheetData>
  <phoneticPr fontId="4"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D11" sqref="D11"/>
    </sheetView>
  </sheetViews>
  <sheetFormatPr defaultColWidth="8.75" defaultRowHeight="12.75" x14ac:dyDescent="0.2"/>
  <cols>
    <col min="1" max="1" width="8.75" style="87"/>
    <col min="2" max="2" width="17.75" style="87" bestFit="1" customWidth="1"/>
    <col min="3" max="3" width="40.25" style="87" customWidth="1"/>
    <col min="4" max="4" width="15.75" style="87" bestFit="1" customWidth="1"/>
    <col min="5" max="5" width="8" style="87" customWidth="1"/>
    <col min="6" max="7" width="8.75" style="87"/>
    <col min="8" max="8" width="59.25" style="87" customWidth="1"/>
    <col min="9" max="16384" width="8.75" style="87"/>
  </cols>
  <sheetData>
    <row r="1" spans="1:8" s="3" customFormat="1" x14ac:dyDescent="0.2">
      <c r="A1" s="114" t="s">
        <v>237</v>
      </c>
      <c r="B1" s="114"/>
      <c r="C1" s="114"/>
      <c r="D1" s="114"/>
      <c r="E1" s="114"/>
      <c r="F1" s="114"/>
      <c r="G1" s="114"/>
      <c r="H1" s="114"/>
    </row>
    <row r="2" spans="1:8" s="3" customFormat="1" x14ac:dyDescent="0.2">
      <c r="A2" s="59"/>
      <c r="B2" s="59"/>
      <c r="C2" s="59"/>
      <c r="D2" s="59"/>
      <c r="E2" s="59"/>
      <c r="F2" s="59"/>
      <c r="G2" s="59"/>
      <c r="H2" s="59"/>
    </row>
    <row r="3" spans="1:8" ht="57" customHeight="1" x14ac:dyDescent="0.2">
      <c r="A3" s="115" t="s">
        <v>243</v>
      </c>
      <c r="B3" s="115" t="s">
        <v>223</v>
      </c>
      <c r="C3" s="115" t="s">
        <v>5</v>
      </c>
      <c r="D3" s="115" t="s">
        <v>6</v>
      </c>
      <c r="E3" s="115" t="s">
        <v>249</v>
      </c>
      <c r="F3" s="115"/>
      <c r="G3" s="115" t="s">
        <v>250</v>
      </c>
      <c r="H3" s="115" t="s">
        <v>244</v>
      </c>
    </row>
    <row r="4" spans="1:8" x14ac:dyDescent="0.2">
      <c r="A4" s="115"/>
      <c r="B4" s="115"/>
      <c r="C4" s="115"/>
      <c r="D4" s="115"/>
      <c r="E4" s="88">
        <v>2013</v>
      </c>
      <c r="F4" s="88">
        <v>2014</v>
      </c>
      <c r="G4" s="115"/>
      <c r="H4" s="115"/>
    </row>
    <row r="5" spans="1:8" ht="38.25" x14ac:dyDescent="0.2">
      <c r="A5" s="89" t="s">
        <v>175</v>
      </c>
      <c r="B5" s="89" t="s">
        <v>245</v>
      </c>
      <c r="C5" s="90" t="s">
        <v>246</v>
      </c>
      <c r="D5" s="89" t="s">
        <v>247</v>
      </c>
      <c r="E5" s="91">
        <v>2095</v>
      </c>
      <c r="F5" s="91" t="s">
        <v>236</v>
      </c>
      <c r="G5" s="91">
        <v>2095</v>
      </c>
      <c r="H5" s="90" t="s">
        <v>240</v>
      </c>
    </row>
    <row r="6" spans="1:8" ht="51" x14ac:dyDescent="0.2">
      <c r="A6" s="89" t="s">
        <v>233</v>
      </c>
      <c r="B6" s="89" t="s">
        <v>245</v>
      </c>
      <c r="C6" s="90" t="s">
        <v>221</v>
      </c>
      <c r="D6" s="89" t="s">
        <v>248</v>
      </c>
      <c r="E6" s="91">
        <v>5933</v>
      </c>
      <c r="F6" s="91">
        <v>6365</v>
      </c>
      <c r="G6" s="91">
        <f>AVERAGE(E6:F6)</f>
        <v>6149</v>
      </c>
      <c r="H6" s="90" t="s">
        <v>234</v>
      </c>
    </row>
    <row r="7" spans="1:8" ht="38.25" x14ac:dyDescent="0.2">
      <c r="A7" s="89" t="s">
        <v>239</v>
      </c>
      <c r="B7" s="89" t="s">
        <v>245</v>
      </c>
      <c r="C7" s="90" t="s">
        <v>242</v>
      </c>
      <c r="D7" s="89" t="s">
        <v>247</v>
      </c>
      <c r="E7" s="89">
        <v>3453</v>
      </c>
      <c r="F7" s="89">
        <v>3257</v>
      </c>
      <c r="G7" s="91">
        <f>AVERAGE(E7:F7)</f>
        <v>3355</v>
      </c>
      <c r="H7" s="90" t="s">
        <v>241</v>
      </c>
    </row>
    <row r="8" spans="1:8" ht="38.25" x14ac:dyDescent="0.2">
      <c r="A8" s="89" t="s">
        <v>235</v>
      </c>
      <c r="B8" s="89" t="s">
        <v>245</v>
      </c>
      <c r="C8" s="90" t="s">
        <v>222</v>
      </c>
      <c r="D8" s="89" t="s">
        <v>11</v>
      </c>
      <c r="E8" s="89">
        <v>28</v>
      </c>
      <c r="F8" s="89">
        <v>24</v>
      </c>
      <c r="G8" s="91">
        <f>AVERAGE(E8:F8)</f>
        <v>26</v>
      </c>
      <c r="H8" s="92" t="s">
        <v>273</v>
      </c>
    </row>
    <row r="9" spans="1:8" x14ac:dyDescent="0.2">
      <c r="A9" s="93" t="s">
        <v>265</v>
      </c>
      <c r="B9" s="94"/>
      <c r="C9" s="94"/>
      <c r="D9" s="94"/>
      <c r="E9" s="94"/>
      <c r="F9" s="94"/>
      <c r="G9" s="95">
        <f>SUM(G5:G8)</f>
        <v>11625</v>
      </c>
    </row>
  </sheetData>
  <mergeCells count="8">
    <mergeCell ref="A1:H1"/>
    <mergeCell ref="H3:H4"/>
    <mergeCell ref="E3:F3"/>
    <mergeCell ref="A3:A4"/>
    <mergeCell ref="B3:B4"/>
    <mergeCell ref="C3:C4"/>
    <mergeCell ref="D3:D4"/>
    <mergeCell ref="G3:G4"/>
  </mergeCells>
  <phoneticPr fontId="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F17" sqref="F17"/>
    </sheetView>
  </sheetViews>
  <sheetFormatPr defaultColWidth="11" defaultRowHeight="12.75" x14ac:dyDescent="0.2"/>
  <cols>
    <col min="1" max="1" width="20.75" style="87" customWidth="1"/>
    <col min="2" max="2" width="7.75" style="87" customWidth="1"/>
    <col min="3" max="3" width="7.25" style="87" bestFit="1" customWidth="1"/>
    <col min="4" max="4" width="15.75" style="87" customWidth="1"/>
    <col min="5" max="5" width="9.875" style="87" bestFit="1" customWidth="1"/>
    <col min="6" max="6" width="8.75" style="87" customWidth="1"/>
    <col min="7" max="7" width="9.125" style="87" bestFit="1" customWidth="1"/>
    <col min="8" max="16384" width="11" style="87"/>
  </cols>
  <sheetData>
    <row r="1" spans="1:8" s="3" customFormat="1" x14ac:dyDescent="0.2">
      <c r="A1" s="60" t="s">
        <v>238</v>
      </c>
      <c r="B1" s="60"/>
      <c r="C1" s="60"/>
      <c r="D1" s="60"/>
    </row>
    <row r="2" spans="1:8" s="3" customFormat="1" ht="13.5" thickBot="1" x14ac:dyDescent="0.25"/>
    <row r="3" spans="1:8" s="3" customFormat="1" ht="61.9" customHeight="1" thickBot="1" x14ac:dyDescent="0.25">
      <c r="A3" s="96" t="s">
        <v>1</v>
      </c>
      <c r="B3" s="97" t="s">
        <v>266</v>
      </c>
      <c r="C3" s="97" t="s">
        <v>267</v>
      </c>
      <c r="D3" s="97" t="s">
        <v>268</v>
      </c>
      <c r="E3" s="97" t="s">
        <v>269</v>
      </c>
      <c r="F3" s="98" t="s">
        <v>270</v>
      </c>
      <c r="G3" s="96" t="s">
        <v>23</v>
      </c>
    </row>
    <row r="4" spans="1:8" x14ac:dyDescent="0.2">
      <c r="A4" s="116" t="s">
        <v>2</v>
      </c>
      <c r="B4" s="116"/>
      <c r="C4" s="116"/>
      <c r="D4" s="116"/>
      <c r="E4" s="116"/>
      <c r="F4" s="116"/>
      <c r="G4" s="116"/>
    </row>
    <row r="5" spans="1:8" x14ac:dyDescent="0.2">
      <c r="A5" s="99" t="s">
        <v>58</v>
      </c>
      <c r="B5" s="100"/>
      <c r="C5" s="100"/>
      <c r="D5" s="100"/>
      <c r="E5" s="100">
        <v>80</v>
      </c>
      <c r="F5" s="100"/>
      <c r="G5" s="100"/>
    </row>
    <row r="6" spans="1:8" x14ac:dyDescent="0.2">
      <c r="A6" s="101" t="s">
        <v>24</v>
      </c>
      <c r="B6" s="102">
        <v>0</v>
      </c>
      <c r="C6" s="102">
        <v>0</v>
      </c>
      <c r="D6" s="102">
        <v>0</v>
      </c>
      <c r="E6" s="102">
        <v>80</v>
      </c>
      <c r="F6" s="102">
        <v>80</v>
      </c>
      <c r="G6" s="102">
        <v>40</v>
      </c>
    </row>
    <row r="7" spans="1:8" x14ac:dyDescent="0.2">
      <c r="A7" s="117" t="s">
        <v>3</v>
      </c>
      <c r="B7" s="117"/>
      <c r="C7" s="117"/>
      <c r="D7" s="117"/>
      <c r="E7" s="117"/>
      <c r="F7" s="117"/>
      <c r="G7" s="117"/>
    </row>
    <row r="8" spans="1:8" ht="25.5" x14ac:dyDescent="0.2">
      <c r="A8" s="103" t="s">
        <v>57</v>
      </c>
      <c r="B8" s="104">
        <v>0</v>
      </c>
      <c r="C8" s="104">
        <v>1798</v>
      </c>
      <c r="D8" s="104">
        <v>6111</v>
      </c>
      <c r="E8" s="104">
        <v>7129</v>
      </c>
      <c r="F8" s="104">
        <v>15039</v>
      </c>
      <c r="G8" s="104">
        <v>7520</v>
      </c>
    </row>
    <row r="9" spans="1:8" ht="25.5" x14ac:dyDescent="0.2">
      <c r="A9" s="103" t="s">
        <v>59</v>
      </c>
      <c r="B9" s="104">
        <v>0</v>
      </c>
      <c r="C9" s="104">
        <v>495</v>
      </c>
      <c r="D9" s="104">
        <v>1411</v>
      </c>
      <c r="E9" s="104">
        <v>2193</v>
      </c>
      <c r="F9" s="104">
        <v>4099</v>
      </c>
      <c r="G9" s="104">
        <v>2049</v>
      </c>
    </row>
    <row r="10" spans="1:8" x14ac:dyDescent="0.2">
      <c r="A10" s="103" t="s">
        <v>58</v>
      </c>
      <c r="B10" s="104">
        <v>0</v>
      </c>
      <c r="C10" s="104">
        <v>100</v>
      </c>
      <c r="D10" s="104">
        <v>500</v>
      </c>
      <c r="E10" s="104">
        <v>171</v>
      </c>
      <c r="F10" s="104">
        <v>771</v>
      </c>
      <c r="G10" s="104">
        <v>386</v>
      </c>
      <c r="H10" s="105"/>
    </row>
    <row r="11" spans="1:8" x14ac:dyDescent="0.2">
      <c r="A11" s="103" t="s">
        <v>60</v>
      </c>
      <c r="B11" s="104">
        <v>0</v>
      </c>
      <c r="C11" s="104">
        <v>0</v>
      </c>
      <c r="D11" s="104">
        <v>425</v>
      </c>
      <c r="E11" s="104">
        <v>308</v>
      </c>
      <c r="F11" s="104">
        <v>733</v>
      </c>
      <c r="G11" s="104">
        <v>367</v>
      </c>
      <c r="H11" s="105"/>
    </row>
    <row r="12" spans="1:8" ht="25.5" x14ac:dyDescent="0.2">
      <c r="A12" s="106" t="s">
        <v>271</v>
      </c>
      <c r="B12" s="104">
        <v>0.1</v>
      </c>
      <c r="C12" s="104">
        <v>47</v>
      </c>
      <c r="D12" s="104">
        <v>23</v>
      </c>
      <c r="E12" s="104">
        <v>96</v>
      </c>
      <c r="F12" s="104">
        <v>165</v>
      </c>
      <c r="G12" s="104">
        <v>83</v>
      </c>
      <c r="H12" s="105"/>
    </row>
    <row r="13" spans="1:8" x14ac:dyDescent="0.2">
      <c r="A13" s="101" t="s">
        <v>25</v>
      </c>
      <c r="B13" s="107">
        <f t="shared" ref="B13:G13" si="0">SUM(B8:B12)</f>
        <v>0.1</v>
      </c>
      <c r="C13" s="107">
        <f t="shared" si="0"/>
        <v>2440</v>
      </c>
      <c r="D13" s="107">
        <f t="shared" si="0"/>
        <v>8470</v>
      </c>
      <c r="E13" s="107">
        <f t="shared" si="0"/>
        <v>9897</v>
      </c>
      <c r="F13" s="107">
        <f t="shared" si="0"/>
        <v>20807</v>
      </c>
      <c r="G13" s="107">
        <f t="shared" si="0"/>
        <v>10405</v>
      </c>
    </row>
    <row r="14" spans="1:8" x14ac:dyDescent="0.2">
      <c r="A14" s="108"/>
      <c r="B14" s="109"/>
      <c r="C14" s="109"/>
      <c r="D14" s="109"/>
      <c r="E14" s="109"/>
      <c r="F14" s="110"/>
      <c r="G14" s="110"/>
    </row>
    <row r="15" spans="1:8" x14ac:dyDescent="0.2">
      <c r="A15" s="101" t="s">
        <v>14</v>
      </c>
      <c r="B15" s="111">
        <f>B6+B13</f>
        <v>0.1</v>
      </c>
      <c r="C15" s="111">
        <f>C6+C13</f>
        <v>2440</v>
      </c>
      <c r="D15" s="111">
        <f>D6+D13</f>
        <v>8470</v>
      </c>
      <c r="E15" s="111">
        <f>E6+E13</f>
        <v>9977</v>
      </c>
      <c r="F15" s="112">
        <f>SUM(F13+F6)</f>
        <v>20887</v>
      </c>
      <c r="G15" s="112">
        <f>SUM(G13+G6)</f>
        <v>10445</v>
      </c>
    </row>
    <row r="16" spans="1:8" x14ac:dyDescent="0.2">
      <c r="G16" s="113"/>
    </row>
  </sheetData>
  <mergeCells count="2">
    <mergeCell ref="A4:G4"/>
    <mergeCell ref="A7:G7"/>
  </mergeCells>
  <phoneticPr fontId="4"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A16" sqref="A16"/>
    </sheetView>
  </sheetViews>
  <sheetFormatPr defaultColWidth="11" defaultRowHeight="12.75" x14ac:dyDescent="0.25"/>
  <cols>
    <col min="1" max="1" width="19" style="43" customWidth="1"/>
    <col min="2" max="2" width="17.25" style="43" customWidth="1"/>
    <col min="3" max="3" width="8.75" style="43" bestFit="1" customWidth="1"/>
    <col min="4" max="4" width="18" style="43" customWidth="1"/>
    <col min="5" max="5" width="10.25" style="43" bestFit="1" customWidth="1"/>
    <col min="6" max="6" width="12" style="43" bestFit="1" customWidth="1"/>
    <col min="7" max="7" width="9.25" style="43" bestFit="1" customWidth="1"/>
    <col min="8" max="8" width="6.5" style="43" customWidth="1"/>
    <col min="9" max="16384" width="11" style="43"/>
  </cols>
  <sheetData>
    <row r="1" spans="1:9" s="3" customFormat="1" x14ac:dyDescent="0.2">
      <c r="A1" s="118" t="s">
        <v>252</v>
      </c>
      <c r="B1" s="118"/>
      <c r="C1" s="118"/>
      <c r="D1" s="118"/>
      <c r="E1" s="118"/>
      <c r="F1" s="118"/>
      <c r="G1" s="38"/>
      <c r="H1" s="38"/>
    </row>
    <row r="2" spans="1:9" s="3" customFormat="1" ht="13.5" thickBot="1" x14ac:dyDescent="0.25"/>
    <row r="3" spans="1:9" s="39" customFormat="1" ht="36" customHeight="1" x14ac:dyDescent="0.2">
      <c r="A3" s="10" t="s">
        <v>10</v>
      </c>
      <c r="B3" s="11" t="s">
        <v>4</v>
      </c>
      <c r="C3" s="11" t="s">
        <v>9</v>
      </c>
      <c r="D3" s="11" t="s">
        <v>5</v>
      </c>
      <c r="E3" s="11" t="s">
        <v>6</v>
      </c>
      <c r="F3" s="11" t="s">
        <v>37</v>
      </c>
      <c r="G3" s="11" t="s">
        <v>7</v>
      </c>
      <c r="H3" s="11" t="s">
        <v>8</v>
      </c>
      <c r="I3" s="12" t="s">
        <v>255</v>
      </c>
    </row>
    <row r="4" spans="1:9" ht="13.5" thickBot="1" x14ac:dyDescent="0.3">
      <c r="A4" s="40" t="s">
        <v>58</v>
      </c>
      <c r="B4" s="41" t="s">
        <v>131</v>
      </c>
      <c r="C4" s="41" t="s">
        <v>253</v>
      </c>
      <c r="D4" s="41" t="s">
        <v>132</v>
      </c>
      <c r="E4" s="41" t="s">
        <v>32</v>
      </c>
      <c r="F4" s="41" t="s">
        <v>134</v>
      </c>
      <c r="G4" s="41">
        <v>79800000</v>
      </c>
      <c r="H4" s="41">
        <v>2014</v>
      </c>
      <c r="I4" s="42" t="s">
        <v>133</v>
      </c>
    </row>
  </sheetData>
  <mergeCells count="1">
    <mergeCell ref="A1:F1"/>
  </mergeCells>
  <phoneticPr fontId="4"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4"/>
  <sheetViews>
    <sheetView topLeftCell="B1" workbookViewId="0">
      <selection activeCell="H58" sqref="H58"/>
    </sheetView>
  </sheetViews>
  <sheetFormatPr defaultColWidth="11" defaultRowHeight="12.75" x14ac:dyDescent="0.2"/>
  <cols>
    <col min="1" max="1" width="17.5" style="15" customWidth="1"/>
    <col min="2" max="2" width="25.5" style="15" customWidth="1"/>
    <col min="3" max="3" width="12.25" style="15" customWidth="1"/>
    <col min="4" max="4" width="24.25" style="15" customWidth="1"/>
    <col min="5" max="5" width="12.25" style="15" customWidth="1"/>
    <col min="6" max="6" width="14.25" style="15" customWidth="1"/>
    <col min="7" max="7" width="19" style="15" customWidth="1"/>
    <col min="8" max="8" width="14" style="15" customWidth="1"/>
    <col min="9" max="9" width="12.25" style="15" customWidth="1"/>
    <col min="10" max="10" width="71" style="15" customWidth="1"/>
    <col min="11" max="13" width="11.75" style="15" bestFit="1" customWidth="1"/>
    <col min="14" max="15" width="11" style="15"/>
    <col min="16" max="16" width="11.75" style="15" bestFit="1" customWidth="1"/>
    <col min="17" max="18" width="11" style="15"/>
    <col min="19" max="19" width="11.75" style="15" bestFit="1" customWidth="1"/>
    <col min="20" max="21" width="11" style="15"/>
    <col min="22" max="22" width="11.25" style="15" bestFit="1" customWidth="1"/>
    <col min="23" max="24" width="11" style="15"/>
    <col min="25" max="25" width="11.25" style="15" customWidth="1"/>
    <col min="26" max="16384" width="11" style="15"/>
  </cols>
  <sheetData>
    <row r="1" spans="1:29" s="3" customFormat="1" x14ac:dyDescent="0.2">
      <c r="A1" s="13" t="s">
        <v>254</v>
      </c>
    </row>
    <row r="2" spans="1:29" s="14" customFormat="1" ht="13.5" thickBot="1" x14ac:dyDescent="0.25"/>
    <row r="3" spans="1:29" s="14" customFormat="1" ht="36" customHeight="1" thickBot="1" x14ac:dyDescent="0.25">
      <c r="A3" s="32" t="s">
        <v>10</v>
      </c>
      <c r="B3" s="33" t="s">
        <v>4</v>
      </c>
      <c r="C3" s="33" t="s">
        <v>9</v>
      </c>
      <c r="D3" s="33" t="s">
        <v>5</v>
      </c>
      <c r="E3" s="33" t="s">
        <v>6</v>
      </c>
      <c r="F3" s="35" t="s">
        <v>264</v>
      </c>
      <c r="G3" s="33" t="s">
        <v>37</v>
      </c>
      <c r="H3" s="33" t="s">
        <v>7</v>
      </c>
      <c r="I3" s="33" t="s">
        <v>8</v>
      </c>
      <c r="J3" s="34" t="s">
        <v>255</v>
      </c>
    </row>
    <row r="4" spans="1:29" x14ac:dyDescent="0.2">
      <c r="A4" s="44" t="s">
        <v>57</v>
      </c>
      <c r="B4" s="45" t="s">
        <v>61</v>
      </c>
      <c r="C4" s="45" t="s">
        <v>30</v>
      </c>
      <c r="D4" s="45" t="s">
        <v>76</v>
      </c>
      <c r="E4" s="45" t="s">
        <v>31</v>
      </c>
      <c r="F4" s="45" t="s">
        <v>179</v>
      </c>
      <c r="G4" s="45" t="s">
        <v>33</v>
      </c>
      <c r="H4" s="46">
        <v>2000000000</v>
      </c>
      <c r="I4" s="45">
        <v>2013</v>
      </c>
      <c r="J4" s="47" t="s">
        <v>105</v>
      </c>
      <c r="L4" s="17" t="s">
        <v>197</v>
      </c>
      <c r="M4" s="18"/>
      <c r="N4" s="18"/>
      <c r="O4" s="18"/>
      <c r="P4" s="18"/>
      <c r="Q4" s="18"/>
      <c r="R4" s="18"/>
      <c r="S4" s="19"/>
      <c r="U4" s="16" t="s">
        <v>198</v>
      </c>
      <c r="Z4" s="16" t="s">
        <v>199</v>
      </c>
    </row>
    <row r="5" spans="1:29" x14ac:dyDescent="0.2">
      <c r="A5" s="48" t="s">
        <v>57</v>
      </c>
      <c r="B5" s="27" t="s">
        <v>62</v>
      </c>
      <c r="C5" s="27" t="s">
        <v>98</v>
      </c>
      <c r="D5" s="27" t="s">
        <v>77</v>
      </c>
      <c r="E5" s="27" t="s">
        <v>31</v>
      </c>
      <c r="F5" s="27" t="s">
        <v>179</v>
      </c>
      <c r="G5" s="27" t="s">
        <v>33</v>
      </c>
      <c r="H5" s="36">
        <v>264000000</v>
      </c>
      <c r="I5" s="27">
        <v>2013</v>
      </c>
      <c r="J5" s="49" t="s">
        <v>106</v>
      </c>
      <c r="L5" s="20" t="s">
        <v>180</v>
      </c>
      <c r="M5" s="21" t="s">
        <v>181</v>
      </c>
      <c r="N5" s="21" t="s">
        <v>182</v>
      </c>
      <c r="O5" s="21" t="s">
        <v>183</v>
      </c>
      <c r="P5" s="21" t="s">
        <v>184</v>
      </c>
      <c r="Q5" s="21" t="s">
        <v>185</v>
      </c>
      <c r="R5" s="21"/>
      <c r="S5" s="22" t="s">
        <v>186</v>
      </c>
      <c r="U5" s="15" t="s">
        <v>189</v>
      </c>
      <c r="V5" s="15">
        <f>SUMPRODUCT(((E:E="Natural Gas")*(F:F="Upstream")*(I:I=2013)*(A:A="Export-Import Bank of Korea")),H:H)</f>
        <v>1892000000</v>
      </c>
      <c r="W5" s="15" t="s">
        <v>190</v>
      </c>
      <c r="X5" s="15">
        <f>SUMPRODUCT(((E:E="Natural Gas")*(F:F="Downstream")*(I:I=2013)*(A:A="Export-Import Bank of Korea")),H:H)</f>
        <v>2054000000</v>
      </c>
      <c r="Z5" s="15" t="s">
        <v>189</v>
      </c>
      <c r="AA5" s="15">
        <f>SUMPRODUCT(((E:E="Natural Gas")*(F:F="Upstream")*(I:I=2014)*(A:A="Export-Import Bank of Korea")),H:H)</f>
        <v>0</v>
      </c>
      <c r="AB5" s="15" t="s">
        <v>190</v>
      </c>
      <c r="AC5" s="15">
        <f>SUMPRODUCT(((E:E="Natural Gas")*(F:F="Downstream")*(I:I=2014)*(A:A="Export-Import Bank of Korea")),H:H)</f>
        <v>1351300000</v>
      </c>
    </row>
    <row r="6" spans="1:29" x14ac:dyDescent="0.2">
      <c r="A6" s="48" t="s">
        <v>57</v>
      </c>
      <c r="B6" s="27" t="s">
        <v>63</v>
      </c>
      <c r="C6" s="27" t="s">
        <v>99</v>
      </c>
      <c r="D6" s="27" t="s">
        <v>78</v>
      </c>
      <c r="E6" s="27" t="s">
        <v>31</v>
      </c>
      <c r="F6" s="27" t="s">
        <v>179</v>
      </c>
      <c r="G6" s="27" t="s">
        <v>33</v>
      </c>
      <c r="H6" s="36">
        <v>340000000</v>
      </c>
      <c r="I6" s="27">
        <v>2013</v>
      </c>
      <c r="J6" s="49" t="s">
        <v>107</v>
      </c>
      <c r="L6" s="20">
        <v>2013</v>
      </c>
      <c r="M6" s="21"/>
      <c r="N6" s="21">
        <f>SUMPRODUCT(((E:E="Coal")*(F:F="Upstream")*(I:I=2013)*(A:A="Export-Import Bank of Korea")),H:H)</f>
        <v>0</v>
      </c>
      <c r="O6" s="21">
        <f>SUMPRODUCT(((E:E="Coal")*(F:F="Downstream")*(I:I=2013)*(A:A="Export-Import Bank of Korea")),H:H)</f>
        <v>1297930000</v>
      </c>
      <c r="P6" s="21">
        <f>V8</f>
        <v>5139000000</v>
      </c>
      <c r="Q6" s="21">
        <f>X8</f>
        <v>5211000000</v>
      </c>
      <c r="R6" s="21"/>
      <c r="S6" s="22">
        <f>SUM(N6:Q6)</f>
        <v>11647930000</v>
      </c>
      <c r="U6" s="15" t="s">
        <v>191</v>
      </c>
      <c r="V6" s="15">
        <f>SUMPRODUCT(((E:E="Oil")*(F:F="Upstream")*(I:I=2013)*(A:A="Export-Import Bank of Korea")),H:H)</f>
        <v>336000000</v>
      </c>
      <c r="W6" s="15" t="s">
        <v>192</v>
      </c>
      <c r="X6" s="15">
        <f>SUMPRODUCT(((E:E="Oil")*(F:F="Downstream")*(I:I=2013)*(A:A="Export-Import Bank of Korea")),H:H)</f>
        <v>1630000000</v>
      </c>
      <c r="Z6" s="15" t="s">
        <v>191</v>
      </c>
      <c r="AA6" s="15">
        <f>SUMPRODUCT(((E:E="Oil")*(F:F="Upstream")*(I:I=2014)*(A:A="Export-Import Bank of Korea")),H:H)</f>
        <v>972470000</v>
      </c>
      <c r="AB6" s="15" t="s">
        <v>192</v>
      </c>
      <c r="AC6" s="15">
        <f>SUMPRODUCT(((E:E="Oil")*(F:F="Downstream")*(I:I=2014)*(A:A="Export-Import Bank of Korea")),H:H)</f>
        <v>567000000</v>
      </c>
    </row>
    <row r="7" spans="1:29" x14ac:dyDescent="0.2">
      <c r="A7" s="48" t="s">
        <v>57</v>
      </c>
      <c r="B7" s="27" t="s">
        <v>64</v>
      </c>
      <c r="C7" s="27" t="s">
        <v>98</v>
      </c>
      <c r="D7" s="27" t="s">
        <v>79</v>
      </c>
      <c r="E7" s="27" t="s">
        <v>31</v>
      </c>
      <c r="F7" s="27" t="s">
        <v>179</v>
      </c>
      <c r="G7" s="27" t="s">
        <v>33</v>
      </c>
      <c r="H7" s="36">
        <v>307000000</v>
      </c>
      <c r="I7" s="27">
        <v>2013</v>
      </c>
      <c r="J7" s="49" t="s">
        <v>108</v>
      </c>
      <c r="L7" s="20">
        <v>2014</v>
      </c>
      <c r="M7" s="21"/>
      <c r="N7" s="21">
        <f>SUMPRODUCT(((E:E="Coal")*(F:F="Upstream")*(I:I=2014)*(A:A="Export-Import Bank of Korea")),H:H)</f>
        <v>0</v>
      </c>
      <c r="O7" s="21">
        <f>SUMPRODUCT(((E:E="Coal")*(F:F="Downstream")*(I:I=2014)*(A:A="Export-Import Bank of Korea")),H:H)</f>
        <v>500000000</v>
      </c>
      <c r="P7" s="21">
        <f>AA8</f>
        <v>972470000</v>
      </c>
      <c r="Q7" s="21">
        <f>AC8</f>
        <v>1918300000</v>
      </c>
      <c r="R7" s="21"/>
      <c r="S7" s="22">
        <f>SUM(N7:Q7)</f>
        <v>3390770000</v>
      </c>
      <c r="U7" s="15" t="s">
        <v>193</v>
      </c>
      <c r="V7" s="15">
        <f>SUMPRODUCT(((E:E="Oil and Gas")*(F:F="Upstream")*(I:I=2013)*(A:A="Export-Import Bank of Korea")),H:H)</f>
        <v>2911000000</v>
      </c>
      <c r="W7" s="15" t="s">
        <v>194</v>
      </c>
      <c r="X7" s="15">
        <f>SUMPRODUCT(((E:E="Oil and Gas")*(F:F="Downstream")*(I:I=2013)*(A:A="Export-Import Bank of Korea")),H:H)</f>
        <v>1527000000</v>
      </c>
      <c r="Z7" s="15" t="s">
        <v>193</v>
      </c>
      <c r="AA7" s="15">
        <f>SUMPRODUCT(((E:E="Oil and Gas")*(F:F="Upstream")*(I:I=2014)*(A:A="Export-Import Bank of Korea")),H:H)</f>
        <v>0</v>
      </c>
      <c r="AB7" s="15" t="s">
        <v>194</v>
      </c>
      <c r="AC7" s="15">
        <f>SUMPRODUCT(((E:E="Oil and Gas")*(F:F="Downstream")*(I:I=2014)*(A:A="Export-Import Bank of Korea")),H:H)</f>
        <v>0</v>
      </c>
    </row>
    <row r="8" spans="1:29" x14ac:dyDescent="0.2">
      <c r="A8" s="48" t="s">
        <v>57</v>
      </c>
      <c r="B8" s="27" t="s">
        <v>65</v>
      </c>
      <c r="C8" s="27" t="s">
        <v>100</v>
      </c>
      <c r="D8" s="27" t="s">
        <v>263</v>
      </c>
      <c r="E8" s="27" t="s">
        <v>32</v>
      </c>
      <c r="F8" s="28" t="s">
        <v>90</v>
      </c>
      <c r="G8" s="27" t="s">
        <v>0</v>
      </c>
      <c r="H8" s="36">
        <v>87000000</v>
      </c>
      <c r="I8" s="27">
        <v>2013</v>
      </c>
      <c r="J8" s="49" t="s">
        <v>109</v>
      </c>
      <c r="L8" s="20" t="s">
        <v>187</v>
      </c>
      <c r="M8" s="21"/>
      <c r="N8" s="21">
        <f>SUM(N6+N7)</f>
        <v>0</v>
      </c>
      <c r="O8" s="21">
        <f>SUM(O6:O7)</f>
        <v>1797930000</v>
      </c>
      <c r="P8" s="21">
        <f>SUM(P6:P7)</f>
        <v>6111470000</v>
      </c>
      <c r="Q8" s="21">
        <f>SUM(Q6:Q7)</f>
        <v>7129300000</v>
      </c>
      <c r="R8" s="21"/>
      <c r="S8" s="22">
        <f>SUM(S6:S7)</f>
        <v>15038700000</v>
      </c>
      <c r="U8" s="15" t="s">
        <v>195</v>
      </c>
      <c r="V8" s="15">
        <f>SUM(V5:V7)</f>
        <v>5139000000</v>
      </c>
      <c r="W8" s="15" t="s">
        <v>196</v>
      </c>
      <c r="X8" s="15">
        <f>SUM(X5:X7)</f>
        <v>5211000000</v>
      </c>
      <c r="Z8" s="15" t="s">
        <v>195</v>
      </c>
      <c r="AA8" s="15">
        <f>SUM(AA5:AA7)</f>
        <v>972470000</v>
      </c>
      <c r="AB8" s="15" t="s">
        <v>196</v>
      </c>
      <c r="AC8" s="15">
        <f>SUM(AC5:AC7)</f>
        <v>1918300000</v>
      </c>
    </row>
    <row r="9" spans="1:29" ht="13.5" thickBot="1" x14ac:dyDescent="0.25">
      <c r="A9" s="48" t="s">
        <v>57</v>
      </c>
      <c r="B9" s="27" t="s">
        <v>65</v>
      </c>
      <c r="C9" s="27" t="s">
        <v>100</v>
      </c>
      <c r="D9" s="27" t="s">
        <v>263</v>
      </c>
      <c r="E9" s="27" t="s">
        <v>32</v>
      </c>
      <c r="F9" s="28" t="s">
        <v>90</v>
      </c>
      <c r="G9" s="27" t="s">
        <v>0</v>
      </c>
      <c r="H9" s="36">
        <v>107000000</v>
      </c>
      <c r="I9" s="27">
        <v>2013</v>
      </c>
      <c r="J9" s="49" t="s">
        <v>110</v>
      </c>
      <c r="L9" s="23" t="s">
        <v>188</v>
      </c>
      <c r="M9" s="24"/>
      <c r="N9" s="24">
        <f>N8/2</f>
        <v>0</v>
      </c>
      <c r="O9" s="24">
        <f>O8/2</f>
        <v>898965000</v>
      </c>
      <c r="P9" s="24">
        <f>P8/2</f>
        <v>3055735000</v>
      </c>
      <c r="Q9" s="24">
        <f>Q8/2</f>
        <v>3564650000</v>
      </c>
      <c r="R9" s="24"/>
      <c r="S9" s="25">
        <f>(S8/2)</f>
        <v>7519350000</v>
      </c>
    </row>
    <row r="10" spans="1:29" x14ac:dyDescent="0.2">
      <c r="A10" s="48" t="s">
        <v>57</v>
      </c>
      <c r="B10" s="27" t="s">
        <v>66</v>
      </c>
      <c r="C10" s="27" t="s">
        <v>26</v>
      </c>
      <c r="D10" s="27" t="s">
        <v>82</v>
      </c>
      <c r="E10" s="27" t="s">
        <v>31</v>
      </c>
      <c r="F10" s="28" t="s">
        <v>90</v>
      </c>
      <c r="G10" s="27" t="s">
        <v>0</v>
      </c>
      <c r="H10" s="36">
        <v>427000000</v>
      </c>
      <c r="I10" s="27">
        <v>2013</v>
      </c>
      <c r="J10" s="49" t="s">
        <v>217</v>
      </c>
    </row>
    <row r="11" spans="1:29" x14ac:dyDescent="0.2">
      <c r="A11" s="48" t="s">
        <v>58</v>
      </c>
      <c r="B11" s="27" t="s">
        <v>67</v>
      </c>
      <c r="C11" s="27" t="s">
        <v>101</v>
      </c>
      <c r="D11" s="27" t="s">
        <v>83</v>
      </c>
      <c r="E11" s="27" t="s">
        <v>11</v>
      </c>
      <c r="F11" s="28" t="s">
        <v>90</v>
      </c>
      <c r="G11" s="27" t="s">
        <v>0</v>
      </c>
      <c r="H11" s="36">
        <v>100000000</v>
      </c>
      <c r="I11" s="27">
        <v>2013</v>
      </c>
      <c r="J11" s="49" t="s">
        <v>111</v>
      </c>
    </row>
    <row r="12" spans="1:29" x14ac:dyDescent="0.2">
      <c r="A12" s="48" t="s">
        <v>57</v>
      </c>
      <c r="B12" s="27" t="s">
        <v>68</v>
      </c>
      <c r="C12" s="27" t="s">
        <v>102</v>
      </c>
      <c r="D12" s="27" t="s">
        <v>126</v>
      </c>
      <c r="E12" s="27" t="s">
        <v>32</v>
      </c>
      <c r="F12" s="28" t="s">
        <v>90</v>
      </c>
      <c r="G12" s="27" t="s">
        <v>104</v>
      </c>
      <c r="H12" s="36">
        <v>420000000</v>
      </c>
      <c r="I12" s="27">
        <v>2013</v>
      </c>
      <c r="J12" s="49" t="s">
        <v>112</v>
      </c>
    </row>
    <row r="13" spans="1:29" x14ac:dyDescent="0.2">
      <c r="A13" s="48" t="s">
        <v>57</v>
      </c>
      <c r="B13" s="27" t="s">
        <v>68</v>
      </c>
      <c r="C13" s="27" t="s">
        <v>102</v>
      </c>
      <c r="D13" s="27" t="s">
        <v>84</v>
      </c>
      <c r="E13" s="27" t="s">
        <v>32</v>
      </c>
      <c r="F13" s="28" t="s">
        <v>90</v>
      </c>
      <c r="G13" s="27" t="s">
        <v>104</v>
      </c>
      <c r="H13" s="36">
        <v>330000000</v>
      </c>
      <c r="I13" s="27">
        <v>2013</v>
      </c>
      <c r="J13" s="49" t="s">
        <v>112</v>
      </c>
    </row>
    <row r="14" spans="1:29" x14ac:dyDescent="0.2">
      <c r="A14" s="48" t="s">
        <v>57</v>
      </c>
      <c r="B14" s="27" t="s">
        <v>69</v>
      </c>
      <c r="C14" s="27" t="s">
        <v>103</v>
      </c>
      <c r="D14" s="27" t="s">
        <v>69</v>
      </c>
      <c r="E14" s="27" t="s">
        <v>31</v>
      </c>
      <c r="F14" s="28" t="s">
        <v>90</v>
      </c>
      <c r="G14" s="27" t="s">
        <v>104</v>
      </c>
      <c r="H14" s="36">
        <v>660000000</v>
      </c>
      <c r="I14" s="27">
        <v>2013</v>
      </c>
      <c r="J14" s="49" t="s">
        <v>113</v>
      </c>
    </row>
    <row r="15" spans="1:29" ht="13.5" thickBot="1" x14ac:dyDescent="0.25">
      <c r="A15" s="48" t="s">
        <v>57</v>
      </c>
      <c r="B15" s="27" t="s">
        <v>69</v>
      </c>
      <c r="C15" s="27" t="s">
        <v>103</v>
      </c>
      <c r="D15" s="27" t="s">
        <v>69</v>
      </c>
      <c r="E15" s="27" t="s">
        <v>31</v>
      </c>
      <c r="F15" s="28" t="s">
        <v>90</v>
      </c>
      <c r="G15" s="27" t="s">
        <v>104</v>
      </c>
      <c r="H15" s="36">
        <v>440000000</v>
      </c>
      <c r="I15" s="27">
        <v>2013</v>
      </c>
      <c r="J15" s="49" t="s">
        <v>113</v>
      </c>
    </row>
    <row r="16" spans="1:29" x14ac:dyDescent="0.2">
      <c r="A16" s="48" t="s">
        <v>57</v>
      </c>
      <c r="B16" s="27" t="s">
        <v>70</v>
      </c>
      <c r="C16" s="27" t="s">
        <v>100</v>
      </c>
      <c r="D16" s="27" t="s">
        <v>85</v>
      </c>
      <c r="E16" s="27" t="s">
        <v>11</v>
      </c>
      <c r="F16" s="28" t="s">
        <v>90</v>
      </c>
      <c r="G16" s="27" t="s">
        <v>0</v>
      </c>
      <c r="H16" s="36">
        <v>500000000</v>
      </c>
      <c r="I16" s="27">
        <v>2013</v>
      </c>
      <c r="J16" s="49" t="s">
        <v>114</v>
      </c>
      <c r="L16" s="17" t="s">
        <v>59</v>
      </c>
      <c r="M16" s="18"/>
      <c r="N16" s="18"/>
      <c r="O16" s="18"/>
      <c r="P16" s="18"/>
      <c r="Q16" s="18"/>
      <c r="R16" s="18"/>
      <c r="S16" s="19"/>
      <c r="U16" s="16" t="s">
        <v>200</v>
      </c>
      <c r="Z16" s="16" t="s">
        <v>201</v>
      </c>
    </row>
    <row r="17" spans="1:29" x14ac:dyDescent="0.2">
      <c r="A17" s="48" t="s">
        <v>57</v>
      </c>
      <c r="B17" s="27" t="s">
        <v>71</v>
      </c>
      <c r="C17" s="27" t="s">
        <v>27</v>
      </c>
      <c r="D17" s="27" t="s">
        <v>92</v>
      </c>
      <c r="E17" s="27" t="s">
        <v>12</v>
      </c>
      <c r="F17" s="28" t="s">
        <v>90</v>
      </c>
      <c r="G17" s="27" t="s">
        <v>0</v>
      </c>
      <c r="H17" s="36">
        <v>1230000000</v>
      </c>
      <c r="I17" s="27">
        <v>2013</v>
      </c>
      <c r="J17" s="49" t="s">
        <v>216</v>
      </c>
      <c r="L17" s="20" t="s">
        <v>180</v>
      </c>
      <c r="M17" s="21" t="s">
        <v>181</v>
      </c>
      <c r="N17" s="21" t="s">
        <v>182</v>
      </c>
      <c r="O17" s="21" t="s">
        <v>183</v>
      </c>
      <c r="P17" s="21" t="s">
        <v>184</v>
      </c>
      <c r="Q17" s="21" t="s">
        <v>185</v>
      </c>
      <c r="R17" s="21"/>
      <c r="S17" s="22" t="s">
        <v>186</v>
      </c>
      <c r="U17" s="15" t="s">
        <v>189</v>
      </c>
      <c r="V17" s="15">
        <f>SUMPRODUCT(((E:E="Natural Gas")*(F:F="Upstream")*(I:I=2013)*(A:A="Korea Trade Insurance Corporation")),H:H)</f>
        <v>675000000</v>
      </c>
      <c r="W17" s="15" t="s">
        <v>190</v>
      </c>
      <c r="X17" s="15">
        <f>SUMPRODUCT(((E:E="Natural Gas")*(F:F="Downstream")*(I:I=2013)*(A:A="Korea Trade Insurance Corporation")),H:H)</f>
        <v>587090000</v>
      </c>
      <c r="Z17" s="15" t="s">
        <v>189</v>
      </c>
      <c r="AA17" s="15">
        <f>SUMPRODUCT(((E:E="Natural Gas")*(F:F="Upstream")*(I:I=2014)*(A:A="Korea Trade Insurance Corporation")),H:H)</f>
        <v>0</v>
      </c>
      <c r="AB17" s="15" t="s">
        <v>190</v>
      </c>
      <c r="AC17" s="15">
        <f>SUMPRODUCT(((E:E="Natural Gas")*(F:F="Downstream")*(I:I=2014)*(A:A="Korea Trade Insurance Corporation")),H:H)</f>
        <v>1034700000</v>
      </c>
    </row>
    <row r="18" spans="1:29" x14ac:dyDescent="0.2">
      <c r="A18" s="48" t="s">
        <v>59</v>
      </c>
      <c r="B18" s="27" t="s">
        <v>71</v>
      </c>
      <c r="C18" s="27" t="s">
        <v>27</v>
      </c>
      <c r="D18" s="27" t="s">
        <v>92</v>
      </c>
      <c r="E18" s="27" t="s">
        <v>12</v>
      </c>
      <c r="F18" s="28" t="s">
        <v>90</v>
      </c>
      <c r="G18" s="27" t="s">
        <v>0</v>
      </c>
      <c r="H18" s="36">
        <v>404000000</v>
      </c>
      <c r="I18" s="27">
        <v>2013</v>
      </c>
      <c r="J18" s="49" t="s">
        <v>216</v>
      </c>
      <c r="L18" s="20">
        <v>2013</v>
      </c>
      <c r="M18" s="21"/>
      <c r="N18" s="21">
        <f>SUMPRODUCT(((E:E="Coal")*(F:F="Upstream")*(I:I=2013)*(A:A="Korea Trade Insurance Corporation")),H:H)</f>
        <v>0</v>
      </c>
      <c r="O18" s="21">
        <f>SUMPRODUCT(((E:E="Coal")*(F:F="Downstream")*(I:I=2013)*(A:A="Korea Trade Insurance Corporation")),H:H)</f>
        <v>0</v>
      </c>
      <c r="P18" s="21">
        <f>V20</f>
        <v>1011000000</v>
      </c>
      <c r="Q18" s="21">
        <f>X20</f>
        <v>991090000</v>
      </c>
      <c r="R18" s="21"/>
      <c r="S18" s="22">
        <f>SUM(N18:Q18)</f>
        <v>2002090000</v>
      </c>
      <c r="U18" s="15" t="s">
        <v>191</v>
      </c>
      <c r="V18" s="15">
        <f>SUMPRODUCT(((E:E="Oil")*(F:F="Upstream")*(I:I=2013)*(A:A="Korea Trade Insurance Corporation")),H:H)</f>
        <v>336000000</v>
      </c>
      <c r="W18" s="15" t="s">
        <v>192</v>
      </c>
      <c r="X18" s="15">
        <f>SUMPRODUCT(((E:E="Oil")*(F:F="Downstream")*(I:I=2013)*(A:A="Korea Trade Insurance Corporation")),H:H)</f>
        <v>404000000</v>
      </c>
      <c r="Z18" s="15" t="s">
        <v>191</v>
      </c>
      <c r="AA18" s="15">
        <f>SUMPRODUCT(((E:E="Oil")*(F:F="Upstream")*(I:I=2014)*(A:A="Korea Trade Insurance Corporation")),H:H)</f>
        <v>400000000</v>
      </c>
      <c r="AB18" s="15" t="s">
        <v>192</v>
      </c>
      <c r="AC18" s="15">
        <f>SUMPRODUCT(((E:E="Oil")*(F:F="Downstream")*(I:I=2014)*(A:A="Korea Trade Insurance Corporation")),H:H)</f>
        <v>167000000</v>
      </c>
    </row>
    <row r="19" spans="1:29" x14ac:dyDescent="0.2">
      <c r="A19" s="48" t="s">
        <v>59</v>
      </c>
      <c r="B19" s="27" t="s">
        <v>72</v>
      </c>
      <c r="C19" s="27" t="s">
        <v>103</v>
      </c>
      <c r="D19" s="27" t="s">
        <v>93</v>
      </c>
      <c r="E19" s="27" t="s">
        <v>11</v>
      </c>
      <c r="F19" s="28" t="s">
        <v>90</v>
      </c>
      <c r="G19" s="27" t="s">
        <v>0</v>
      </c>
      <c r="H19" s="36">
        <v>495000000</v>
      </c>
      <c r="I19" s="27">
        <v>2014</v>
      </c>
      <c r="J19" s="49" t="s">
        <v>115</v>
      </c>
      <c r="L19" s="20">
        <v>2014</v>
      </c>
      <c r="M19" s="21"/>
      <c r="N19" s="21">
        <f>SUMPRODUCT(((E:E="Coal")*(F:F="Upstream")*(I:I=2014)*(A:A="Korea Trade Insurance Corporation")),H:H)</f>
        <v>0</v>
      </c>
      <c r="O19" s="21">
        <f>SUMPRODUCT(((E:E="Coal")*(F:F="Downstream")*(I:I=2014)*(A:A="Korea Trade Insurance Corporation")),H:H)</f>
        <v>495000000</v>
      </c>
      <c r="P19" s="21">
        <f>AA20</f>
        <v>400000000</v>
      </c>
      <c r="Q19" s="21">
        <f>AC20</f>
        <v>1201700000</v>
      </c>
      <c r="R19" s="21"/>
      <c r="S19" s="22">
        <f>SUM(N19:Q19)</f>
        <v>2096700000</v>
      </c>
      <c r="U19" s="15" t="s">
        <v>193</v>
      </c>
      <c r="V19" s="15">
        <f>SUMPRODUCT(((E:E="Oil and Gas")*(F:F="Upstream")*(I:I=2013)*(A:A="Korea Trade Insurance Corporation")),H:H)</f>
        <v>0</v>
      </c>
      <c r="W19" s="15" t="s">
        <v>194</v>
      </c>
      <c r="X19" s="15">
        <f>SUMPRODUCT(((E:E="Oil and Gas")*(F:F="Downstream")*(I:I=2013)*(A:A="Korea Trade Insurance Corporation")),H:H)</f>
        <v>0</v>
      </c>
      <c r="Z19" s="15" t="s">
        <v>193</v>
      </c>
      <c r="AA19" s="15">
        <f>SUMPRODUCT(((E:E="Oil and Gas")*(F:F="Upstream")*(I:I=2014)*(A:A="Korea Trade Insurance Corporation")),H:H)</f>
        <v>0</v>
      </c>
      <c r="AB19" s="15" t="s">
        <v>194</v>
      </c>
      <c r="AC19" s="15">
        <f>SUMPRODUCT(((E:E="Oil and Gas")*(F:F="Downstream")*(I:I=2014)*(A:A="Korea Trade Insurance Corporation")),H:H)</f>
        <v>0</v>
      </c>
    </row>
    <row r="20" spans="1:29" x14ac:dyDescent="0.2">
      <c r="A20" s="48" t="s">
        <v>57</v>
      </c>
      <c r="B20" s="27" t="s">
        <v>72</v>
      </c>
      <c r="C20" s="27" t="s">
        <v>103</v>
      </c>
      <c r="D20" s="27" t="s">
        <v>94</v>
      </c>
      <c r="E20" s="27" t="s">
        <v>11</v>
      </c>
      <c r="F20" s="28" t="s">
        <v>90</v>
      </c>
      <c r="G20" s="27" t="s">
        <v>0</v>
      </c>
      <c r="H20" s="36">
        <v>500000000</v>
      </c>
      <c r="I20" s="27">
        <v>2014</v>
      </c>
      <c r="J20" s="49" t="s">
        <v>116</v>
      </c>
      <c r="L20" s="20" t="s">
        <v>187</v>
      </c>
      <c r="M20" s="21"/>
      <c r="N20" s="21">
        <f>SUM(N18+N19)</f>
        <v>0</v>
      </c>
      <c r="O20" s="21">
        <f>SUM(O18:O19)</f>
        <v>495000000</v>
      </c>
      <c r="P20" s="21">
        <f>SUM(P18:P19)</f>
        <v>1411000000</v>
      </c>
      <c r="Q20" s="21">
        <f>SUM(Q18:Q19)</f>
        <v>2192790000</v>
      </c>
      <c r="R20" s="21"/>
      <c r="S20" s="22">
        <f>SUM(S18:S19)</f>
        <v>4098790000</v>
      </c>
      <c r="U20" s="15" t="s">
        <v>195</v>
      </c>
      <c r="V20" s="15">
        <f>SUM(V17:V19)</f>
        <v>1011000000</v>
      </c>
      <c r="W20" s="15" t="s">
        <v>196</v>
      </c>
      <c r="X20" s="15">
        <f>SUM(X17:X19)</f>
        <v>991090000</v>
      </c>
      <c r="Z20" s="15" t="s">
        <v>195</v>
      </c>
      <c r="AA20" s="15">
        <f>SUM(AA17:AA19)</f>
        <v>400000000</v>
      </c>
      <c r="AB20" s="15" t="s">
        <v>196</v>
      </c>
      <c r="AC20" s="15">
        <f>SUM(AC17:AC19)</f>
        <v>1201700000</v>
      </c>
    </row>
    <row r="21" spans="1:29" ht="13.5" thickBot="1" x14ac:dyDescent="0.25">
      <c r="A21" s="48" t="s">
        <v>57</v>
      </c>
      <c r="B21" s="27" t="s">
        <v>73</v>
      </c>
      <c r="C21" s="27" t="s">
        <v>28</v>
      </c>
      <c r="D21" s="27" t="s">
        <v>95</v>
      </c>
      <c r="E21" s="27" t="s">
        <v>32</v>
      </c>
      <c r="F21" s="28" t="s">
        <v>90</v>
      </c>
      <c r="G21" s="27" t="s">
        <v>0</v>
      </c>
      <c r="H21" s="36">
        <v>150000000</v>
      </c>
      <c r="I21" s="27">
        <v>2014</v>
      </c>
      <c r="J21" s="49" t="s">
        <v>117</v>
      </c>
      <c r="L21" s="23" t="s">
        <v>188</v>
      </c>
      <c r="M21" s="24"/>
      <c r="N21" s="24">
        <f>N20/2</f>
        <v>0</v>
      </c>
      <c r="O21" s="24">
        <f>O20/2</f>
        <v>247500000</v>
      </c>
      <c r="P21" s="24">
        <f>P20/2</f>
        <v>705500000</v>
      </c>
      <c r="Q21" s="24">
        <f>Q20/2</f>
        <v>1096395000</v>
      </c>
      <c r="R21" s="24"/>
      <c r="S21" s="26">
        <f>(S20/2)</f>
        <v>2049395000</v>
      </c>
    </row>
    <row r="22" spans="1:29" x14ac:dyDescent="0.2">
      <c r="A22" s="48" t="s">
        <v>57</v>
      </c>
      <c r="B22" s="27" t="s">
        <v>74</v>
      </c>
      <c r="C22" s="27" t="s">
        <v>101</v>
      </c>
      <c r="D22" s="27" t="s">
        <v>96</v>
      </c>
      <c r="E22" s="27" t="s">
        <v>32</v>
      </c>
      <c r="F22" s="28" t="s">
        <v>90</v>
      </c>
      <c r="G22" s="27" t="s">
        <v>0</v>
      </c>
      <c r="H22" s="36">
        <v>380000000</v>
      </c>
      <c r="I22" s="27">
        <v>2014</v>
      </c>
      <c r="J22" s="50" t="s">
        <v>214</v>
      </c>
    </row>
    <row r="23" spans="1:29" ht="13.5" thickBot="1" x14ac:dyDescent="0.25">
      <c r="A23" s="48" t="s">
        <v>60</v>
      </c>
      <c r="B23" s="27" t="s">
        <v>75</v>
      </c>
      <c r="C23" s="27" t="s">
        <v>28</v>
      </c>
      <c r="D23" s="27" t="s">
        <v>97</v>
      </c>
      <c r="E23" s="27" t="s">
        <v>32</v>
      </c>
      <c r="F23" s="28" t="s">
        <v>90</v>
      </c>
      <c r="G23" s="27" t="s">
        <v>0</v>
      </c>
      <c r="H23" s="36">
        <v>45000000</v>
      </c>
      <c r="I23" s="27">
        <v>2014</v>
      </c>
      <c r="J23" s="49" t="s">
        <v>118</v>
      </c>
    </row>
    <row r="24" spans="1:29" x14ac:dyDescent="0.2">
      <c r="A24" s="48" t="s">
        <v>57</v>
      </c>
      <c r="B24" s="27" t="s">
        <v>119</v>
      </c>
      <c r="C24" s="27" t="s">
        <v>120</v>
      </c>
      <c r="D24" s="27" t="s">
        <v>121</v>
      </c>
      <c r="E24" s="27" t="s">
        <v>32</v>
      </c>
      <c r="F24" s="28" t="s">
        <v>90</v>
      </c>
      <c r="G24" s="27" t="s">
        <v>215</v>
      </c>
      <c r="H24" s="36">
        <f>492000000+202300000</f>
        <v>694300000</v>
      </c>
      <c r="I24" s="27">
        <v>2014</v>
      </c>
      <c r="J24" s="49" t="s">
        <v>122</v>
      </c>
      <c r="L24" s="17" t="s">
        <v>58</v>
      </c>
      <c r="M24" s="18"/>
      <c r="N24" s="18"/>
      <c r="O24" s="18"/>
      <c r="P24" s="18"/>
      <c r="Q24" s="18"/>
      <c r="R24" s="18"/>
      <c r="S24" s="19"/>
      <c r="U24" s="16" t="s">
        <v>205</v>
      </c>
      <c r="Z24" s="16" t="s">
        <v>204</v>
      </c>
    </row>
    <row r="25" spans="1:29" x14ac:dyDescent="0.2">
      <c r="A25" s="48" t="s">
        <v>59</v>
      </c>
      <c r="B25" s="27" t="s">
        <v>119</v>
      </c>
      <c r="C25" s="27" t="s">
        <v>120</v>
      </c>
      <c r="D25" s="27" t="s">
        <v>121</v>
      </c>
      <c r="E25" s="27" t="s">
        <v>32</v>
      </c>
      <c r="F25" s="28" t="s">
        <v>90</v>
      </c>
      <c r="G25" s="27" t="s">
        <v>215</v>
      </c>
      <c r="H25" s="36">
        <v>1034700000</v>
      </c>
      <c r="I25" s="27">
        <v>2014</v>
      </c>
      <c r="J25" s="49" t="s">
        <v>122</v>
      </c>
      <c r="L25" s="20" t="s">
        <v>180</v>
      </c>
      <c r="M25" s="21" t="s">
        <v>181</v>
      </c>
      <c r="N25" s="21" t="s">
        <v>182</v>
      </c>
      <c r="O25" s="21" t="s">
        <v>183</v>
      </c>
      <c r="P25" s="21" t="s">
        <v>184</v>
      </c>
      <c r="Q25" s="21" t="s">
        <v>185</v>
      </c>
      <c r="R25" s="21"/>
      <c r="S25" s="22" t="s">
        <v>186</v>
      </c>
      <c r="U25" s="15" t="s">
        <v>189</v>
      </c>
      <c r="V25" s="15">
        <f>SUMPRODUCT(((E:E="Natural Gas")*(F:F="Upstream")*(I:I=2013)*(A:A="Korea Finance Corporation")),H:H)</f>
        <v>500000000</v>
      </c>
      <c r="W25" s="15" t="s">
        <v>190</v>
      </c>
      <c r="X25" s="15">
        <f>SUMPRODUCT(((E:E="Natural Gas")*(F:F="Downstream")*(I:I=2013)*(A:A="Korea Finance Corporation")),H:H)</f>
        <v>171130000</v>
      </c>
      <c r="Z25" s="15" t="s">
        <v>189</v>
      </c>
      <c r="AA25" s="15">
        <f>SUMPRODUCT(((E:E="Natural Gas")*(F:F="Upstream")*(I:I=2014)*(A:A="Korea Finance Corporation")),H:H)</f>
        <v>0</v>
      </c>
      <c r="AB25" s="15" t="s">
        <v>190</v>
      </c>
      <c r="AC25" s="15">
        <f>SUMPRODUCT(((E:E="Natural Gas")*(F:F="Downstream")*(I:I=2014)*(A:A="Korea Finance Corporation")),H:H)</f>
        <v>0</v>
      </c>
    </row>
    <row r="26" spans="1:29" x14ac:dyDescent="0.2">
      <c r="A26" s="48" t="s">
        <v>59</v>
      </c>
      <c r="B26" s="27" t="s">
        <v>124</v>
      </c>
      <c r="C26" s="27" t="s">
        <v>21</v>
      </c>
      <c r="D26" s="27" t="s">
        <v>123</v>
      </c>
      <c r="E26" s="27" t="s">
        <v>32</v>
      </c>
      <c r="F26" s="28" t="s">
        <v>90</v>
      </c>
      <c r="G26" s="27" t="s">
        <v>104</v>
      </c>
      <c r="H26" s="36">
        <v>137090000</v>
      </c>
      <c r="I26" s="27">
        <v>2013</v>
      </c>
      <c r="J26" s="49" t="s">
        <v>125</v>
      </c>
      <c r="L26" s="20">
        <v>2013</v>
      </c>
      <c r="M26" s="21"/>
      <c r="N26" s="21">
        <f>SUMPRODUCT(((E:E="Coal")*(F:F="Upstream")*(I:I=2013)*(A:A="Korea Finance Corporation")),H:H)</f>
        <v>0</v>
      </c>
      <c r="O26" s="21">
        <f>SUMPRODUCT(((E:E="Coal")*(F:F="Downstream")*(I:I=2013)*(A:A="Korea Finance Corporation")),H:H)</f>
        <v>100000000</v>
      </c>
      <c r="P26" s="21">
        <f>V29</f>
        <v>500000000</v>
      </c>
      <c r="Q26" s="21">
        <f>X29</f>
        <v>171130000</v>
      </c>
      <c r="R26" s="21"/>
      <c r="S26" s="22">
        <f>SUM(N26:Q26)</f>
        <v>771130000</v>
      </c>
    </row>
    <row r="27" spans="1:29" x14ac:dyDescent="0.2">
      <c r="A27" s="48" t="s">
        <v>59</v>
      </c>
      <c r="B27" s="27" t="s">
        <v>127</v>
      </c>
      <c r="C27" s="27" t="s">
        <v>22</v>
      </c>
      <c r="D27" s="27" t="s">
        <v>128</v>
      </c>
      <c r="E27" s="27" t="s">
        <v>32</v>
      </c>
      <c r="F27" s="28" t="s">
        <v>179</v>
      </c>
      <c r="G27" s="27" t="s">
        <v>129</v>
      </c>
      <c r="H27" s="36">
        <v>675000000</v>
      </c>
      <c r="I27" s="27">
        <v>2013</v>
      </c>
      <c r="J27" s="49" t="s">
        <v>130</v>
      </c>
      <c r="L27" s="20">
        <v>2014</v>
      </c>
      <c r="M27" s="21"/>
      <c r="N27" s="21">
        <f>SUMPRODUCT(((E:E="Coal")*(F:F="Upstream")*(I:I=2014)*(A:A="Korea Finance Corporation")),H:H)</f>
        <v>0</v>
      </c>
      <c r="O27" s="21">
        <f>SUMPRODUCT(((E:E="Coal")*(F:F="Downstream")*(I:I=2014)*(A:A="Korea Finance Corporation")),H:H)</f>
        <v>0</v>
      </c>
      <c r="P27" s="21">
        <f>AA29</f>
        <v>0</v>
      </c>
      <c r="Q27" s="21">
        <f>AC29</f>
        <v>0</v>
      </c>
      <c r="R27" s="21"/>
      <c r="S27" s="22">
        <f>SUM(N27:Q27)</f>
        <v>0</v>
      </c>
      <c r="U27" s="15" t="s">
        <v>191</v>
      </c>
      <c r="V27" s="15">
        <f>SUMPRODUCT(((E:E="Oil")*(F:F="Upstream")*(I:I=2013)*(A:A="Korea Finance Corporation")),H:H)</f>
        <v>0</v>
      </c>
      <c r="W27" s="15" t="s">
        <v>192</v>
      </c>
      <c r="X27" s="15">
        <f>SUMPRODUCT(((E:E="Oil")*(F:F="Downstream")*(I:I=2013)*(A:A="Korea Finance Corporation")),H:H)</f>
        <v>0</v>
      </c>
      <c r="Z27" s="15" t="s">
        <v>191</v>
      </c>
      <c r="AA27" s="15">
        <f>SUMPRODUCT(((E:E="Oil")*(F:F="Upstream")*(I:I=2014)*(A:A="Korea Finance Corporation")),H:H)</f>
        <v>0</v>
      </c>
      <c r="AB27" s="15" t="s">
        <v>192</v>
      </c>
      <c r="AC27" s="15">
        <f>SUMPRODUCT(((E:E="Oil")*(F:F="Downstream")*(I:I=2014)*(A:A="Korea Finance Corporation")),H:H)</f>
        <v>0</v>
      </c>
    </row>
    <row r="28" spans="1:29" x14ac:dyDescent="0.2">
      <c r="A28" s="48" t="s">
        <v>57</v>
      </c>
      <c r="B28" s="27" t="s">
        <v>127</v>
      </c>
      <c r="C28" s="27" t="s">
        <v>22</v>
      </c>
      <c r="D28" s="27" t="s">
        <v>128</v>
      </c>
      <c r="E28" s="27" t="s">
        <v>32</v>
      </c>
      <c r="F28" s="28" t="s">
        <v>179</v>
      </c>
      <c r="G28" s="27" t="s">
        <v>129</v>
      </c>
      <c r="H28" s="36">
        <f>675000000+400000000</f>
        <v>1075000000</v>
      </c>
      <c r="I28" s="27">
        <v>2013</v>
      </c>
      <c r="J28" s="49" t="s">
        <v>130</v>
      </c>
      <c r="L28" s="20" t="s">
        <v>187</v>
      </c>
      <c r="M28" s="21"/>
      <c r="N28" s="21">
        <f>SUM(N26+N27)</f>
        <v>0</v>
      </c>
      <c r="O28" s="21">
        <f>SUM(O26:O27)</f>
        <v>100000000</v>
      </c>
      <c r="P28" s="21">
        <f>SUM(P26:P27)</f>
        <v>500000000</v>
      </c>
      <c r="Q28" s="21">
        <f>SUM(Q26:Q27)</f>
        <v>171130000</v>
      </c>
      <c r="R28" s="21"/>
      <c r="S28" s="22">
        <f>SUM(S26:S27)</f>
        <v>771130000</v>
      </c>
      <c r="U28" s="15" t="s">
        <v>193</v>
      </c>
      <c r="V28" s="15">
        <f>SUMPRODUCT(((E:E="Oil and Gas")*(F:F="Upstream")*(I:I=2013)*(A:A="Korea Finance Corporation")),H:H)</f>
        <v>0</v>
      </c>
      <c r="W28" s="15" t="s">
        <v>194</v>
      </c>
      <c r="X28" s="15">
        <f>SUMPRODUCT(((E:E="Oil and Gas")*(F:F="Downstream")*(I:I=2013)*(A:A="Korea Finance Corporation")),H:H)</f>
        <v>0</v>
      </c>
      <c r="Z28" s="15" t="s">
        <v>193</v>
      </c>
      <c r="AA28" s="15">
        <f>SUMPRODUCT(((E:E="Oil and Gas")*(F:F="Upstream")*(I:I=2014)*(A:A="Korea Finance Corporation")),H:H)</f>
        <v>0</v>
      </c>
      <c r="AB28" s="15" t="s">
        <v>194</v>
      </c>
      <c r="AC28" s="15">
        <f>SUMPRODUCT(((E:E="Oil and Gas")*(F:F="Downstream")*(I:I=2014)*(A:A="Korea Finance Corporation")),H:H)</f>
        <v>0</v>
      </c>
    </row>
    <row r="29" spans="1:29" x14ac:dyDescent="0.2">
      <c r="A29" s="48" t="s">
        <v>58</v>
      </c>
      <c r="B29" s="28" t="s">
        <v>135</v>
      </c>
      <c r="C29" s="27" t="s">
        <v>136</v>
      </c>
      <c r="D29" s="27" t="s">
        <v>137</v>
      </c>
      <c r="E29" s="27" t="s">
        <v>32</v>
      </c>
      <c r="F29" s="28" t="s">
        <v>179</v>
      </c>
      <c r="G29" s="27" t="s">
        <v>129</v>
      </c>
      <c r="H29" s="36">
        <v>500000000</v>
      </c>
      <c r="I29" s="27">
        <v>2013</v>
      </c>
      <c r="J29" s="49" t="s">
        <v>138</v>
      </c>
      <c r="L29" s="20"/>
      <c r="M29" s="21"/>
      <c r="N29" s="21"/>
      <c r="O29" s="21"/>
      <c r="P29" s="21"/>
      <c r="Q29" s="21"/>
      <c r="R29" s="21"/>
      <c r="S29" s="22"/>
      <c r="U29" s="15" t="s">
        <v>195</v>
      </c>
      <c r="V29" s="15">
        <f>SUM(V25:V28)</f>
        <v>500000000</v>
      </c>
      <c r="W29" s="15" t="s">
        <v>196</v>
      </c>
      <c r="X29" s="15">
        <f>SUM(X25:X28)</f>
        <v>171130000</v>
      </c>
      <c r="Z29" s="15" t="s">
        <v>195</v>
      </c>
      <c r="AA29" s="15">
        <f>SUM(AA25:AA28)</f>
        <v>0</v>
      </c>
      <c r="AB29" s="15" t="s">
        <v>196</v>
      </c>
      <c r="AC29" s="15">
        <f>SUM(AC25:AC28)</f>
        <v>0</v>
      </c>
    </row>
    <row r="30" spans="1:29" ht="13.5" thickBot="1" x14ac:dyDescent="0.25">
      <c r="A30" s="48" t="s">
        <v>57</v>
      </c>
      <c r="B30" s="28" t="s">
        <v>135</v>
      </c>
      <c r="C30" s="27" t="s">
        <v>136</v>
      </c>
      <c r="D30" s="27" t="s">
        <v>137</v>
      </c>
      <c r="E30" s="27" t="s">
        <v>32</v>
      </c>
      <c r="F30" s="28" t="s">
        <v>179</v>
      </c>
      <c r="G30" s="27" t="s">
        <v>129</v>
      </c>
      <c r="H30" s="36">
        <v>700000000</v>
      </c>
      <c r="I30" s="27">
        <v>2013</v>
      </c>
      <c r="J30" s="49" t="s">
        <v>138</v>
      </c>
      <c r="L30" s="23" t="s">
        <v>188</v>
      </c>
      <c r="M30" s="24"/>
      <c r="N30" s="24">
        <f>N28/2</f>
        <v>0</v>
      </c>
      <c r="O30" s="24">
        <f>O28/2</f>
        <v>50000000</v>
      </c>
      <c r="P30" s="24">
        <f>P28/2</f>
        <v>250000000</v>
      </c>
      <c r="Q30" s="24">
        <f>Q28/2</f>
        <v>85565000</v>
      </c>
      <c r="R30" s="24"/>
      <c r="S30" s="26">
        <f>(S28/2)</f>
        <v>385565000</v>
      </c>
    </row>
    <row r="31" spans="1:29" x14ac:dyDescent="0.2">
      <c r="A31" s="48" t="s">
        <v>60</v>
      </c>
      <c r="B31" s="28" t="s">
        <v>135</v>
      </c>
      <c r="C31" s="27" t="s">
        <v>136</v>
      </c>
      <c r="D31" s="27" t="s">
        <v>137</v>
      </c>
      <c r="E31" s="27" t="s">
        <v>32</v>
      </c>
      <c r="F31" s="28" t="s">
        <v>179</v>
      </c>
      <c r="G31" s="27" t="s">
        <v>129</v>
      </c>
      <c r="H31" s="36">
        <v>300000000</v>
      </c>
      <c r="I31" s="27">
        <v>2013</v>
      </c>
      <c r="J31" s="49" t="s">
        <v>138</v>
      </c>
    </row>
    <row r="32" spans="1:29" ht="13.5" thickBot="1" x14ac:dyDescent="0.25">
      <c r="A32" s="48" t="s">
        <v>59</v>
      </c>
      <c r="B32" s="27" t="s">
        <v>172</v>
      </c>
      <c r="C32" s="27" t="s">
        <v>140</v>
      </c>
      <c r="D32" s="27" t="s">
        <v>139</v>
      </c>
      <c r="E32" s="27" t="s">
        <v>32</v>
      </c>
      <c r="F32" s="28" t="s">
        <v>90</v>
      </c>
      <c r="G32" s="27" t="s">
        <v>134</v>
      </c>
      <c r="H32" s="36">
        <v>450000000</v>
      </c>
      <c r="I32" s="27">
        <v>2013</v>
      </c>
      <c r="J32" s="50" t="s">
        <v>151</v>
      </c>
    </row>
    <row r="33" spans="1:29" x14ac:dyDescent="0.2">
      <c r="A33" s="48" t="s">
        <v>58</v>
      </c>
      <c r="B33" s="27" t="s">
        <v>172</v>
      </c>
      <c r="C33" s="27" t="s">
        <v>140</v>
      </c>
      <c r="D33" s="27" t="s">
        <v>139</v>
      </c>
      <c r="E33" s="27" t="s">
        <v>32</v>
      </c>
      <c r="F33" s="28" t="s">
        <v>90</v>
      </c>
      <c r="G33" s="27" t="s">
        <v>134</v>
      </c>
      <c r="H33" s="36">
        <f>64000000+32140000</f>
        <v>96140000</v>
      </c>
      <c r="I33" s="27">
        <v>2013</v>
      </c>
      <c r="J33" s="50" t="s">
        <v>151</v>
      </c>
      <c r="L33" s="17" t="s">
        <v>60</v>
      </c>
      <c r="M33" s="18"/>
      <c r="N33" s="18"/>
      <c r="O33" s="18"/>
      <c r="P33" s="18"/>
      <c r="Q33" s="18"/>
      <c r="R33" s="18"/>
      <c r="S33" s="19"/>
      <c r="U33" s="16" t="s">
        <v>202</v>
      </c>
      <c r="Z33" s="16" t="s">
        <v>203</v>
      </c>
    </row>
    <row r="34" spans="1:29" x14ac:dyDescent="0.2">
      <c r="A34" s="48" t="s">
        <v>57</v>
      </c>
      <c r="B34" s="27" t="s">
        <v>172</v>
      </c>
      <c r="C34" s="27" t="s">
        <v>140</v>
      </c>
      <c r="D34" s="27" t="s">
        <v>139</v>
      </c>
      <c r="E34" s="27" t="s">
        <v>32</v>
      </c>
      <c r="F34" s="28" t="s">
        <v>90</v>
      </c>
      <c r="G34" s="27" t="s">
        <v>134</v>
      </c>
      <c r="H34" s="36">
        <v>450000000</v>
      </c>
      <c r="I34" s="27">
        <v>2013</v>
      </c>
      <c r="J34" s="50" t="s">
        <v>151</v>
      </c>
      <c r="L34" s="20" t="s">
        <v>180</v>
      </c>
      <c r="M34" s="21" t="s">
        <v>181</v>
      </c>
      <c r="N34" s="21" t="s">
        <v>182</v>
      </c>
      <c r="O34" s="21" t="s">
        <v>183</v>
      </c>
      <c r="P34" s="21" t="s">
        <v>184</v>
      </c>
      <c r="Q34" s="21" t="s">
        <v>185</v>
      </c>
      <c r="R34" s="21"/>
      <c r="S34" s="22" t="s">
        <v>186</v>
      </c>
      <c r="U34" s="15" t="s">
        <v>189</v>
      </c>
      <c r="V34" s="15">
        <f>SUMPRODUCT(((E:E="Natural Gas")*(F:F="Upstream")*(I:I=2013)*(A:A="Korea Development Bank")),H:H)</f>
        <v>300000000</v>
      </c>
      <c r="W34" s="15" t="s">
        <v>190</v>
      </c>
      <c r="X34" s="15">
        <f>SUMPRODUCT(((E:E="Natural Gas")*(F:F="Downstream")*(I:I=2013)*(A:A="Korea Development Bank")),H:H)</f>
        <v>62200000</v>
      </c>
      <c r="Z34" s="15" t="s">
        <v>189</v>
      </c>
      <c r="AA34" s="15">
        <f>SUMPRODUCT(((E:E="Natural Gas")*(F:F="Upstream")*(I:I=2014)*(A:A="Korea Development Bank")),H:H)</f>
        <v>0</v>
      </c>
      <c r="AB34" s="15" t="s">
        <v>190</v>
      </c>
      <c r="AC34" s="15">
        <f>SUMPRODUCT(((E:E="Natural Gas")*(F:F="Downstream")*(I:I=2014)*(A:A="Korea Development Bank")),H:H)</f>
        <v>45000000</v>
      </c>
    </row>
    <row r="35" spans="1:29" x14ac:dyDescent="0.2">
      <c r="A35" s="48" t="s">
        <v>58</v>
      </c>
      <c r="B35" s="27" t="s">
        <v>173</v>
      </c>
      <c r="C35" s="27" t="s">
        <v>29</v>
      </c>
      <c r="D35" s="27" t="s">
        <v>174</v>
      </c>
      <c r="E35" s="27" t="s">
        <v>32</v>
      </c>
      <c r="F35" s="28" t="s">
        <v>90</v>
      </c>
      <c r="G35" s="27" t="s">
        <v>134</v>
      </c>
      <c r="H35" s="36">
        <f>27140000+25710000+22140000</f>
        <v>74990000</v>
      </c>
      <c r="I35" s="27">
        <v>2013</v>
      </c>
      <c r="J35" s="49" t="s">
        <v>150</v>
      </c>
      <c r="L35" s="20">
        <v>2013</v>
      </c>
      <c r="M35" s="21"/>
      <c r="N35" s="21">
        <f>SUMPRODUCT(((E:E="Coal")*(F:F="Upstream")*(I:I=2013)*(A:A="Korea Development Bank")),H:H)</f>
        <v>0</v>
      </c>
      <c r="O35" s="21">
        <f>SUMPRODUCT(((E:E="Coal")*(F:F="Downstream")*(I:I=2013)*(A:A="Korea Development Bank")),H:H)</f>
        <v>0</v>
      </c>
      <c r="P35" s="21">
        <f>V37</f>
        <v>300000000</v>
      </c>
      <c r="Q35" s="21">
        <f>X37</f>
        <v>128700000</v>
      </c>
      <c r="R35" s="21"/>
      <c r="S35" s="22">
        <f>SUM(N35:Q35)</f>
        <v>428700000</v>
      </c>
      <c r="U35" s="15" t="s">
        <v>191</v>
      </c>
      <c r="V35" s="15">
        <f>SUMPRODUCT(((E:E="Oil")*(F:F="Upstream")*(I:I=2013)*(A:A="Korea Development Bank")),H:H)</f>
        <v>0</v>
      </c>
      <c r="W35" s="15" t="s">
        <v>192</v>
      </c>
      <c r="X35" s="15">
        <f>SUMPRODUCT(((E:E="Oil")*(F:F="Downstream")*(I:I=2013)*(A:A="Korea Development Bank")),H:H)</f>
        <v>66500000</v>
      </c>
      <c r="Z35" s="15" t="s">
        <v>191</v>
      </c>
      <c r="AA35" s="15">
        <f>SUMPRODUCT(((E:E="Oil")*(F:F="Upstream")*(I:I=2014)*(A:A="Korea Development Bank")),H:H)</f>
        <v>125000000</v>
      </c>
      <c r="AB35" s="15" t="s">
        <v>192</v>
      </c>
      <c r="AC35" s="15">
        <f>SUMPRODUCT(((E:E="Oil")*(F:F="Downstream")*(I:I=2014)*(A:A="Korea Development Bank")),H:H)</f>
        <v>134620000</v>
      </c>
    </row>
    <row r="36" spans="1:29" x14ac:dyDescent="0.2">
      <c r="A36" s="48" t="s">
        <v>57</v>
      </c>
      <c r="B36" s="27" t="s">
        <v>173</v>
      </c>
      <c r="C36" s="27" t="s">
        <v>29</v>
      </c>
      <c r="D36" s="27" t="s">
        <v>174</v>
      </c>
      <c r="E36" s="27" t="s">
        <v>32</v>
      </c>
      <c r="F36" s="28" t="s">
        <v>90</v>
      </c>
      <c r="G36" s="27" t="s">
        <v>134</v>
      </c>
      <c r="H36" s="36">
        <v>360000000</v>
      </c>
      <c r="I36" s="27">
        <v>2013</v>
      </c>
      <c r="J36" s="49" t="s">
        <v>150</v>
      </c>
      <c r="L36" s="20">
        <v>2014</v>
      </c>
      <c r="M36" s="21"/>
      <c r="N36" s="21">
        <f>SUMPRODUCT(((E:E="Coal")*(F:F="Upstream")*(I:I=2014)*(A:A="Korea Development Bank")),H:H)</f>
        <v>0</v>
      </c>
      <c r="O36" s="21">
        <f>SUMPRODUCT(((E:E="Coal")*(F:F="Downstream")*(I:I=2014)*(A:A="Korea Development Bank")),H:H)</f>
        <v>0</v>
      </c>
      <c r="P36" s="21">
        <f>AA37</f>
        <v>125000000</v>
      </c>
      <c r="Q36" s="21">
        <f>AC37</f>
        <v>179620000</v>
      </c>
      <c r="R36" s="21"/>
      <c r="S36" s="22">
        <f>SUM(N36:Q36)</f>
        <v>304620000</v>
      </c>
      <c r="U36" s="15" t="s">
        <v>193</v>
      </c>
      <c r="V36" s="15">
        <f>SUMPRODUCT(((E:E="Oil and Gas")*(F:F="Upstream")*(I:I=2013)*(A:A="Korea Development Bank")),H:H)</f>
        <v>0</v>
      </c>
      <c r="W36" s="15" t="s">
        <v>194</v>
      </c>
      <c r="X36" s="15">
        <f>SUMPRODUCT(((E:E="Oil and Gas")*(F:F="Downstream")*(I:I=2013)*(A:A="Korea Development Bank")),H:H)</f>
        <v>0</v>
      </c>
      <c r="Z36" s="15" t="s">
        <v>193</v>
      </c>
      <c r="AA36" s="15">
        <f>SUMPRODUCT(((E:E="Oil and Gas")*(F:F="Upstream")*(I:I=2014)*(A:A="Korea Development Bank")),H:H)</f>
        <v>0</v>
      </c>
      <c r="AB36" s="15" t="s">
        <v>194</v>
      </c>
      <c r="AC36" s="15">
        <f>SUMPRODUCT(((E:E="Oil and Gas")*(F:F="Downstream")*(I:I=2014)*(A:A="Korea Development Bank")),H:H)</f>
        <v>0</v>
      </c>
    </row>
    <row r="37" spans="1:29" x14ac:dyDescent="0.2">
      <c r="A37" s="48" t="s">
        <v>57</v>
      </c>
      <c r="B37" s="27" t="s">
        <v>142</v>
      </c>
      <c r="C37" s="27" t="s">
        <v>100</v>
      </c>
      <c r="D37" s="27" t="s">
        <v>141</v>
      </c>
      <c r="E37" s="27" t="s">
        <v>32</v>
      </c>
      <c r="F37" s="28" t="s">
        <v>90</v>
      </c>
      <c r="G37" s="27" t="s">
        <v>104</v>
      </c>
      <c r="H37" s="36">
        <v>127000000</v>
      </c>
      <c r="I37" s="27">
        <v>2014</v>
      </c>
      <c r="J37" s="49" t="s">
        <v>149</v>
      </c>
      <c r="L37" s="20" t="s">
        <v>187</v>
      </c>
      <c r="M37" s="21"/>
      <c r="N37" s="21">
        <f>SUM(N35+N36)</f>
        <v>0</v>
      </c>
      <c r="O37" s="21">
        <f>SUM(O35:O36)</f>
        <v>0</v>
      </c>
      <c r="P37" s="21">
        <f>SUM(P35:P36)</f>
        <v>425000000</v>
      </c>
      <c r="Q37" s="21">
        <f>SUM(Q35:Q36)</f>
        <v>308320000</v>
      </c>
      <c r="R37" s="21"/>
      <c r="S37" s="22">
        <f>SUM(S35:S36)</f>
        <v>733320000</v>
      </c>
      <c r="U37" s="15" t="s">
        <v>195</v>
      </c>
      <c r="V37" s="15">
        <f>SUM(V34:V36)</f>
        <v>300000000</v>
      </c>
      <c r="W37" s="15" t="s">
        <v>196</v>
      </c>
      <c r="X37" s="15">
        <f>SUM(X34:X36)</f>
        <v>128700000</v>
      </c>
      <c r="Z37" s="15" t="s">
        <v>195</v>
      </c>
      <c r="AA37" s="15">
        <f>SUM(AA34:AA36)</f>
        <v>125000000</v>
      </c>
      <c r="AB37" s="15" t="s">
        <v>196</v>
      </c>
      <c r="AC37" s="15">
        <f>SUM(AC34:AC36)</f>
        <v>179620000</v>
      </c>
    </row>
    <row r="38" spans="1:29" ht="13.5" thickBot="1" x14ac:dyDescent="0.25">
      <c r="A38" s="48" t="s">
        <v>57</v>
      </c>
      <c r="B38" s="27" t="s">
        <v>143</v>
      </c>
      <c r="C38" s="27"/>
      <c r="D38" s="27" t="s">
        <v>144</v>
      </c>
      <c r="E38" s="27" t="s">
        <v>12</v>
      </c>
      <c r="F38" s="28" t="s">
        <v>179</v>
      </c>
      <c r="G38" s="27" t="s">
        <v>54</v>
      </c>
      <c r="H38" s="36">
        <v>665000000</v>
      </c>
      <c r="I38" s="27">
        <v>2014</v>
      </c>
      <c r="J38" s="49" t="s">
        <v>148</v>
      </c>
      <c r="L38" s="23" t="s">
        <v>188</v>
      </c>
      <c r="M38" s="24"/>
      <c r="N38" s="24">
        <f>N37/2</f>
        <v>0</v>
      </c>
      <c r="O38" s="24">
        <f>O37/2</f>
        <v>0</v>
      </c>
      <c r="P38" s="24">
        <f>P37/2</f>
        <v>212500000</v>
      </c>
      <c r="Q38" s="24">
        <f>Q37/2</f>
        <v>154160000</v>
      </c>
      <c r="R38" s="24"/>
      <c r="S38" s="26">
        <f>(S37/2)</f>
        <v>366660000</v>
      </c>
    </row>
    <row r="39" spans="1:29" x14ac:dyDescent="0.2">
      <c r="A39" s="48" t="s">
        <v>59</v>
      </c>
      <c r="B39" s="27" t="s">
        <v>143</v>
      </c>
      <c r="C39" s="27"/>
      <c r="D39" s="27" t="s">
        <v>144</v>
      </c>
      <c r="E39" s="27" t="s">
        <v>12</v>
      </c>
      <c r="F39" s="28" t="s">
        <v>179</v>
      </c>
      <c r="G39" s="27" t="s">
        <v>54</v>
      </c>
      <c r="H39" s="36">
        <v>400000000</v>
      </c>
      <c r="I39" s="27">
        <v>2014</v>
      </c>
      <c r="J39" s="49" t="s">
        <v>148</v>
      </c>
    </row>
    <row r="40" spans="1:29" x14ac:dyDescent="0.2">
      <c r="A40" s="48" t="s">
        <v>57</v>
      </c>
      <c r="B40" s="27" t="s">
        <v>145</v>
      </c>
      <c r="C40" s="27" t="s">
        <v>98</v>
      </c>
      <c r="D40" s="27" t="s">
        <v>146</v>
      </c>
      <c r="E40" s="27" t="s">
        <v>12</v>
      </c>
      <c r="F40" s="28" t="s">
        <v>179</v>
      </c>
      <c r="G40" s="27" t="s">
        <v>41</v>
      </c>
      <c r="H40" s="36">
        <v>307470000</v>
      </c>
      <c r="I40" s="27">
        <v>2014</v>
      </c>
      <c r="J40" s="49" t="s">
        <v>147</v>
      </c>
    </row>
    <row r="41" spans="1:29" ht="13.5" thickBot="1" x14ac:dyDescent="0.25">
      <c r="A41" s="48" t="s">
        <v>60</v>
      </c>
      <c r="B41" s="27" t="s">
        <v>152</v>
      </c>
      <c r="C41" s="27" t="s">
        <v>103</v>
      </c>
      <c r="D41" s="27" t="s">
        <v>153</v>
      </c>
      <c r="E41" s="27" t="s">
        <v>12</v>
      </c>
      <c r="F41" s="28" t="s">
        <v>90</v>
      </c>
      <c r="G41" s="27" t="s">
        <v>104</v>
      </c>
      <c r="H41" s="36">
        <v>66500000</v>
      </c>
      <c r="I41" s="27">
        <v>2013</v>
      </c>
      <c r="J41" s="49" t="s">
        <v>154</v>
      </c>
      <c r="U41" s="15">
        <f>SUMIF(A:A, "Export-Import Bank of Korea",H:H )</f>
        <v>15038700000</v>
      </c>
    </row>
    <row r="42" spans="1:29" x14ac:dyDescent="0.2">
      <c r="A42" s="48" t="s">
        <v>57</v>
      </c>
      <c r="B42" s="27" t="s">
        <v>220</v>
      </c>
      <c r="C42" s="27"/>
      <c r="D42" s="27" t="s">
        <v>155</v>
      </c>
      <c r="E42" s="27" t="s">
        <v>12</v>
      </c>
      <c r="F42" s="28" t="s">
        <v>179</v>
      </c>
      <c r="G42" s="27" t="s">
        <v>156</v>
      </c>
      <c r="H42" s="36">
        <v>336000000</v>
      </c>
      <c r="I42" s="27">
        <v>2013</v>
      </c>
      <c r="J42" s="49" t="s">
        <v>157</v>
      </c>
      <c r="L42" s="17" t="s">
        <v>207</v>
      </c>
      <c r="M42" s="18"/>
      <c r="N42" s="18"/>
      <c r="O42" s="18"/>
      <c r="P42" s="18"/>
      <c r="Q42" s="18"/>
      <c r="R42" s="18"/>
      <c r="S42" s="19"/>
    </row>
    <row r="43" spans="1:29" x14ac:dyDescent="0.2">
      <c r="A43" s="48" t="s">
        <v>59</v>
      </c>
      <c r="B43" s="27" t="s">
        <v>220</v>
      </c>
      <c r="C43" s="27"/>
      <c r="D43" s="27" t="s">
        <v>155</v>
      </c>
      <c r="E43" s="27" t="s">
        <v>12</v>
      </c>
      <c r="F43" s="28" t="s">
        <v>179</v>
      </c>
      <c r="G43" s="27" t="s">
        <v>156</v>
      </c>
      <c r="H43" s="36">
        <v>336000000</v>
      </c>
      <c r="I43" s="27">
        <v>2013</v>
      </c>
      <c r="J43" s="49" t="s">
        <v>157</v>
      </c>
      <c r="L43" s="20" t="s">
        <v>180</v>
      </c>
      <c r="M43" s="21"/>
      <c r="N43" s="21" t="s">
        <v>182</v>
      </c>
      <c r="O43" s="21" t="s">
        <v>183</v>
      </c>
      <c r="P43" s="21" t="s">
        <v>184</v>
      </c>
      <c r="Q43" s="21" t="s">
        <v>185</v>
      </c>
      <c r="R43" s="22" t="s">
        <v>186</v>
      </c>
      <c r="S43" s="22"/>
      <c r="U43" s="15">
        <f>16972383/1110</f>
        <v>15290.435135135134</v>
      </c>
    </row>
    <row r="44" spans="1:29" x14ac:dyDescent="0.2">
      <c r="A44" s="48" t="s">
        <v>60</v>
      </c>
      <c r="B44" s="27" t="s">
        <v>159</v>
      </c>
      <c r="C44" s="27" t="s">
        <v>28</v>
      </c>
      <c r="D44" s="27" t="s">
        <v>158</v>
      </c>
      <c r="E44" s="27" t="s">
        <v>12</v>
      </c>
      <c r="F44" s="28" t="s">
        <v>90</v>
      </c>
      <c r="G44" s="27" t="s">
        <v>104</v>
      </c>
      <c r="H44" s="36">
        <v>134620000</v>
      </c>
      <c r="I44" s="27">
        <v>2014</v>
      </c>
      <c r="J44" s="49" t="s">
        <v>160</v>
      </c>
      <c r="L44" s="20">
        <v>2013</v>
      </c>
      <c r="M44" s="21"/>
      <c r="N44" s="21">
        <v>31920</v>
      </c>
      <c r="O44" s="21">
        <v>39832611.249999993</v>
      </c>
      <c r="P44" s="21">
        <v>10066224.739599999</v>
      </c>
      <c r="Q44" s="21">
        <v>23826604.846799999</v>
      </c>
      <c r="R44" s="21">
        <v>73757360.836400002</v>
      </c>
      <c r="S44" s="22"/>
    </row>
    <row r="45" spans="1:29" x14ac:dyDescent="0.2">
      <c r="A45" s="48" t="s">
        <v>60</v>
      </c>
      <c r="B45" s="27" t="s">
        <v>161</v>
      </c>
      <c r="C45" s="27" t="s">
        <v>163</v>
      </c>
      <c r="D45" s="27" t="s">
        <v>162</v>
      </c>
      <c r="E45" s="27" t="s">
        <v>12</v>
      </c>
      <c r="F45" s="28" t="s">
        <v>179</v>
      </c>
      <c r="G45" s="27" t="s">
        <v>41</v>
      </c>
      <c r="H45" s="36">
        <v>125000000</v>
      </c>
      <c r="I45" s="27">
        <v>2014</v>
      </c>
      <c r="J45" s="49" t="s">
        <v>164</v>
      </c>
      <c r="L45" s="20">
        <v>2014</v>
      </c>
      <c r="M45" s="21"/>
      <c r="N45" s="21">
        <v>91960</v>
      </c>
      <c r="O45" s="21">
        <v>6618748.7104000002</v>
      </c>
      <c r="P45" s="21">
        <v>12605742.118000001</v>
      </c>
      <c r="Q45" s="21">
        <v>72047800.80839999</v>
      </c>
      <c r="R45" s="21">
        <v>91364251.636799991</v>
      </c>
      <c r="S45" s="22"/>
    </row>
    <row r="46" spans="1:29" x14ac:dyDescent="0.2">
      <c r="A46" s="48" t="s">
        <v>60</v>
      </c>
      <c r="B46" s="27" t="s">
        <v>165</v>
      </c>
      <c r="C46" s="27" t="s">
        <v>100</v>
      </c>
      <c r="D46" s="27" t="s">
        <v>166</v>
      </c>
      <c r="E46" s="27" t="s">
        <v>32</v>
      </c>
      <c r="F46" s="28" t="s">
        <v>90</v>
      </c>
      <c r="G46" s="27"/>
      <c r="H46" s="36">
        <v>62200000</v>
      </c>
      <c r="I46" s="27">
        <v>2013</v>
      </c>
      <c r="J46" s="49" t="s">
        <v>167</v>
      </c>
      <c r="L46" s="20" t="s">
        <v>208</v>
      </c>
      <c r="M46" s="21"/>
      <c r="N46" s="21">
        <f>SUM(N44:N45)</f>
        <v>123880</v>
      </c>
      <c r="O46" s="21">
        <f>SUM(O44:O45)</f>
        <v>46451359.960399993</v>
      </c>
      <c r="P46" s="21">
        <f>SUM(P44:P45)</f>
        <v>22671966.8576</v>
      </c>
      <c r="Q46" s="21">
        <f>SUM(Q44:Q45)</f>
        <v>95874405.65519999</v>
      </c>
      <c r="R46" s="21">
        <f>SUM(R44:R45)</f>
        <v>165121612.47319999</v>
      </c>
      <c r="S46" s="22"/>
    </row>
    <row r="47" spans="1:29" ht="13.5" thickBot="1" x14ac:dyDescent="0.25">
      <c r="A47" s="51" t="s">
        <v>57</v>
      </c>
      <c r="B47" s="30" t="s">
        <v>168</v>
      </c>
      <c r="C47" s="27" t="s">
        <v>103</v>
      </c>
      <c r="D47" s="29" t="s">
        <v>251</v>
      </c>
      <c r="E47" s="29" t="s">
        <v>11</v>
      </c>
      <c r="F47" s="31" t="s">
        <v>90</v>
      </c>
      <c r="G47" s="31" t="s">
        <v>170</v>
      </c>
      <c r="H47" s="36">
        <f>330000000+270000000</f>
        <v>600000000</v>
      </c>
      <c r="I47" s="29">
        <v>2013</v>
      </c>
      <c r="J47" s="52" t="s">
        <v>169</v>
      </c>
      <c r="L47" s="23" t="s">
        <v>188</v>
      </c>
      <c r="M47" s="24"/>
      <c r="N47" s="24">
        <f>N46/2</f>
        <v>61940</v>
      </c>
      <c r="O47" s="24">
        <f>O46/2</f>
        <v>23225679.980199996</v>
      </c>
      <c r="P47" s="24">
        <f>P46/2</f>
        <v>11335983.4288</v>
      </c>
      <c r="Q47" s="24">
        <f>Q46/2</f>
        <v>47937202.827599995</v>
      </c>
      <c r="R47" s="24">
        <f>R46/2</f>
        <v>82560806.236599997</v>
      </c>
      <c r="S47" s="25"/>
    </row>
    <row r="48" spans="1:29" x14ac:dyDescent="0.2">
      <c r="A48" s="51" t="s">
        <v>57</v>
      </c>
      <c r="B48" s="27" t="s">
        <v>171</v>
      </c>
      <c r="C48" s="29" t="s">
        <v>177</v>
      </c>
      <c r="D48" s="29" t="s">
        <v>178</v>
      </c>
      <c r="E48" s="29" t="s">
        <v>11</v>
      </c>
      <c r="F48" s="31" t="s">
        <v>90</v>
      </c>
      <c r="G48" s="31" t="s">
        <v>0</v>
      </c>
      <c r="H48" s="36">
        <v>197930000</v>
      </c>
      <c r="I48" s="27">
        <v>2013</v>
      </c>
      <c r="J48" s="49" t="s">
        <v>176</v>
      </c>
    </row>
    <row r="49" spans="1:19" x14ac:dyDescent="0.2">
      <c r="A49" s="48" t="s">
        <v>57</v>
      </c>
      <c r="B49" s="27" t="s">
        <v>210</v>
      </c>
      <c r="C49" s="27" t="s">
        <v>211</v>
      </c>
      <c r="D49" s="28" t="s">
        <v>212</v>
      </c>
      <c r="E49" s="28" t="s">
        <v>12</v>
      </c>
      <c r="F49" s="28" t="s">
        <v>90</v>
      </c>
      <c r="G49" s="28" t="s">
        <v>104</v>
      </c>
      <c r="H49" s="36">
        <v>567000000</v>
      </c>
      <c r="I49" s="27">
        <v>2014</v>
      </c>
      <c r="J49" s="50" t="s">
        <v>213</v>
      </c>
    </row>
    <row r="50" spans="1:19" x14ac:dyDescent="0.2">
      <c r="A50" s="48" t="s">
        <v>59</v>
      </c>
      <c r="B50" s="27" t="s">
        <v>210</v>
      </c>
      <c r="C50" s="27" t="s">
        <v>211</v>
      </c>
      <c r="D50" s="28" t="s">
        <v>212</v>
      </c>
      <c r="E50" s="28" t="s">
        <v>12</v>
      </c>
      <c r="F50" s="28" t="s">
        <v>90</v>
      </c>
      <c r="G50" s="28" t="s">
        <v>104</v>
      </c>
      <c r="H50" s="36">
        <v>167000000</v>
      </c>
      <c r="I50" s="27">
        <v>2014</v>
      </c>
      <c r="J50" s="53" t="s">
        <v>213</v>
      </c>
    </row>
    <row r="51" spans="1:19" x14ac:dyDescent="0.2">
      <c r="A51" s="48" t="s">
        <v>57</v>
      </c>
      <c r="B51" s="27" t="s">
        <v>228</v>
      </c>
      <c r="C51" s="27" t="s">
        <v>218</v>
      </c>
      <c r="D51" s="28" t="s">
        <v>224</v>
      </c>
      <c r="E51" s="28" t="s">
        <v>32</v>
      </c>
      <c r="F51" s="28" t="s">
        <v>90</v>
      </c>
      <c r="G51" s="28" t="s">
        <v>0</v>
      </c>
      <c r="H51" s="36">
        <v>300000000</v>
      </c>
      <c r="I51" s="27">
        <v>2013</v>
      </c>
      <c r="J51" s="49" t="s">
        <v>219</v>
      </c>
      <c r="L51" s="16" t="s">
        <v>209</v>
      </c>
      <c r="N51" s="15">
        <f>SUM(N37,N28,N20,N8)</f>
        <v>0</v>
      </c>
      <c r="O51" s="15">
        <f>SUM(O37,O28,O20,O8)</f>
        <v>2392930000</v>
      </c>
      <c r="P51" s="15">
        <f>SUM(P37,P28,P20,P8)</f>
        <v>8447470000</v>
      </c>
      <c r="Q51" s="15">
        <f>SUM(Q37,Q28,Q20,Q8)</f>
        <v>9801540000</v>
      </c>
      <c r="S51" s="15">
        <f>SUM(S37,S28,S20,S8)</f>
        <v>20641940000</v>
      </c>
    </row>
    <row r="52" spans="1:19" x14ac:dyDescent="0.2">
      <c r="A52" s="48" t="s">
        <v>57</v>
      </c>
      <c r="B52" s="27" t="s">
        <v>227</v>
      </c>
      <c r="C52" s="27" t="s">
        <v>27</v>
      </c>
      <c r="D52" s="28" t="s">
        <v>226</v>
      </c>
      <c r="E52" s="28" t="s">
        <v>12</v>
      </c>
      <c r="F52" s="28" t="s">
        <v>90</v>
      </c>
      <c r="G52" s="28" t="s">
        <v>215</v>
      </c>
      <c r="H52" s="36">
        <v>400000000</v>
      </c>
      <c r="I52" s="27">
        <v>2013</v>
      </c>
      <c r="J52" s="49" t="s">
        <v>225</v>
      </c>
      <c r="S52" s="15">
        <f>S51/2</f>
        <v>10320970000</v>
      </c>
    </row>
    <row r="53" spans="1:19" ht="13.5" thickBot="1" x14ac:dyDescent="0.25">
      <c r="A53" s="54" t="s">
        <v>57</v>
      </c>
      <c r="B53" s="55" t="s">
        <v>231</v>
      </c>
      <c r="C53" s="55" t="s">
        <v>230</v>
      </c>
      <c r="D53" s="56" t="s">
        <v>232</v>
      </c>
      <c r="E53" s="56" t="s">
        <v>32</v>
      </c>
      <c r="F53" s="56" t="s">
        <v>179</v>
      </c>
      <c r="G53" s="56" t="s">
        <v>41</v>
      </c>
      <c r="H53" s="57">
        <v>117000000</v>
      </c>
      <c r="I53" s="55">
        <v>2013</v>
      </c>
      <c r="J53" s="58" t="s">
        <v>229</v>
      </c>
    </row>
    <row r="54" spans="1:19" x14ac:dyDescent="0.2">
      <c r="G54" s="16" t="s">
        <v>206</v>
      </c>
      <c r="H54" s="37">
        <f>SUM(H4:H53)</f>
        <v>20641940000</v>
      </c>
    </row>
  </sheetData>
  <sortState ref="A2:J13">
    <sortCondition ref="A3:A13"/>
  </sortState>
  <phoneticPr fontId="4" type="noConversion"/>
  <hyperlinks>
    <hyperlink ref="J32" r:id="rId1"/>
    <hyperlink ref="J33" r:id="rId2"/>
    <hyperlink ref="J34" r:id="rId3"/>
    <hyperlink ref="B47" r:id="rId4"/>
    <hyperlink ref="J47" r:id="rId5"/>
    <hyperlink ref="J49" r:id="rId6"/>
    <hyperlink ref="J50" r:id="rId7"/>
    <hyperlink ref="J22" r:id="rId8"/>
  </hyperlinks>
  <pageMargins left="0.75" right="0.75" top="1" bottom="1" header="0.5" footer="0.5"/>
  <legacy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6" ma:contentTypeDescription="Create a new document." ma:contentTypeScope="" ma:versionID="466f2529c50cae2225198f0240402871">
  <xsd:schema xmlns:xsd="http://www.w3.org/2001/XMLSchema" xmlns:xs="http://www.w3.org/2001/XMLSchema" xmlns:p="http://schemas.microsoft.com/office/2006/metadata/properties" xmlns:ns2="94cc8053-8d8c-49ea-856f-1648b6275459" targetNamespace="http://schemas.microsoft.com/office/2006/metadata/properties" ma:root="true" ma:fieldsID="3b956c1589ceff16b55347cca0f3782c"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element ref="ns2:Resource_x0020_or_x0020_opinion_x0020_entryC_Series" minOccurs="0"/>
                <xsd:element ref="ns2:C_Resource_x0020_or_x0020_opinion_x0020_entryC_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8053-8d8c-49ea-856f-1648b6275459" elementFormDefault="qualified">
    <xsd:import namespace="http://schemas.microsoft.com/office/2006/documentManagement/types"/>
    <xsd:import namespace="http://schemas.microsoft.com/office/infopath/2007/PartnerControl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element name="Resource_x0020_or_x0020_opinion_x0020_entryC_Series" ma:index="20" nillable="true" ma:displayName="Resource or opinion entry:C_Series" ma:list="{91DE294A-379C-4914-893F-69E1A2C5CB74}" ma:internalName="Resource_x0020_or_x0020_opinion_x0020_entryC_Series" ma:readOnly="false" ma:showField="C_Series" ma:web="2bdcabb1-9838-4b64-a0dc-c62c68f49f10">
      <xsd:simpleType>
        <xsd:restriction base="dms:Unknown"/>
      </xsd:simpleType>
    </xsd:element>
    <xsd:element name="C_Resource_x0020_or_x0020_opinion_x0020_entryC_Series" ma:index="21" nillable="true" ma:displayName="C_Resource or opinion entry:C_Series" ma:internalName="C_Resource_x0020_or_x0020_opinion_x0020_entryC_Serie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source_x0020_or_x0020_opinion_x0020_entryC_Series xmlns="94cc8053-8d8c-49ea-856f-1648b6275459" xsi:nil="true"/>
    <Order0 xmlns="94cc8053-8d8c-49ea-856f-1648b6275459">2</Order0>
    <Resource_x0020_or_x0020_opinion_x0020_entry xmlns="94cc8053-8d8c-49ea-856f-1648b6275459">10081;#</Resource_x0020_or_x0020_opinion_x0020_entry>
    <Publish_x0020_to_x0020_web_x003f_ xmlns="94cc8053-8d8c-49ea-856f-1648b6275459">true</Publish_x0020_to_x0020_web_x003f_>
    <Resource_x0020_or_x0020_opinion_x0020_entryC_WebSection xmlns="94cc8053-8d8c-49ea-856f-1648b6275459">10081;#10081</Resource_x0020_or_x0020_opinion_x0020_entryC_WebSection>
    <External_x0020_download xmlns="94cc8053-8d8c-49ea-856f-1648b6275459" xsi:nil="true"/>
    <Number_x0020_of_x0020_pages xmlns="94cc8053-8d8c-49ea-856f-1648b6275459" xsi:nil="true"/>
    <Resource_x0020_or_x0020_opinion_x0020_entryAuthor_x0028_s_x0029_ xmlns="94cc8053-8d8c-49ea-856f-1648b6275459">10081;#10081</Resource_x0020_or_x0020_opinion_x0020_entryAuthor_x0028_s_x0029_>
    <Resource_x0020_or_x0020_opinion_x0020_entryTitle_x002c__x0020_series_x0020_0 xmlns="94cc8053-8d8c-49ea-856f-1648b6275459">10081;#10081</Resource_x0020_or_x0020_opinion_x0020_entryTitle_x002c__x0020_series_x0020_0>
    <C_Resource_x0020_or_x0020_opinion_x0020_entry xmlns="94cc8053-8d8c-49ea-856f-1648b6275459">10081</C_Resource_x0020_or_x0020_opinion_x0020_entry>
    <C_Resource_x0020_or_x0020_opinion_x0020_entryC_WebSection xmlns="94cc8053-8d8c-49ea-856f-1648b6275459">Publication</C_Resource_x0020_or_x0020_opinion_x0020_entryC_WebSection>
    <C_Resource_x0020_or_x0020_opinion_x0020_entryTitle_x002c__x0020_series_x0020_0 xmlns="94cc8053-8d8c-49ea-856f-1648b6275459">G20 subsidies to oil, gas and coal production: Republic of Korea - </C_Resource_x0020_or_x0020_opinion_x0020_entryTitle_x002c__x0020_series_x0020_0>
    <C_Resource_x0020_or_x0020_opinion_x0020_entryAuthor_x0028_s_x0029_ xmlns="94cc8053-8d8c-49ea-856f-1648b6275459">Alex Doukas and Shelagh Whitley</C_Resource_x0020_or_x0020_opinion_x0020_entryAuthor_x0028_s_x0029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5FAC00-4B6B-4E36-B9E5-6567AACFFDD8}"/>
</file>

<file path=customXml/itemProps2.xml><?xml version="1.0" encoding="utf-8"?>
<ds:datastoreItem xmlns:ds="http://schemas.openxmlformats.org/officeDocument/2006/customXml" ds:itemID="{9F0E33E7-5C57-441D-B52D-088F81084E59}"/>
</file>

<file path=customXml/itemProps3.xml><?xml version="1.0" encoding="utf-8"?>
<ds:datastoreItem xmlns:ds="http://schemas.openxmlformats.org/officeDocument/2006/customXml" ds:itemID="{CCE284C3-AC9D-42D9-ACD0-B44FA06FF2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National Subsidies</vt:lpstr>
      <vt:lpstr>SOE Investment</vt:lpstr>
      <vt:lpstr>PF_Summary</vt:lpstr>
      <vt:lpstr>PF_Domestic_Full</vt:lpstr>
      <vt:lpstr>PF_International_Full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 of Korea Data Sheet</dc:title>
  <dc:creator>Sam Pickard</dc:creator>
  <cp:lastModifiedBy>Caroline Haywood</cp:lastModifiedBy>
  <dcterms:created xsi:type="dcterms:W3CDTF">2015-08-18T14:38:53Z</dcterms:created>
  <dcterms:modified xsi:type="dcterms:W3CDTF">2015-11-11T13:44:18Z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0x010100A905DC7642379B4E930CB9F746B2B8C3</vt:lpwstr>
  </property>
</Properties>
</file>