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haredStrings.xml" ContentType="application/vnd.openxmlformats-officedocument.spreadsheetml.sharedStrings+xml"/>
  <Override PartName="/xl/styles.xml" ContentType="application/vnd.openxmlformats-officedocument.spreadsheetml.styles+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docProps/custom.xml" ContentType="application/vnd.openxmlformats-officedocument.custom-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X:\Communications\Typefi\CEP\G20 fossil fuels 2015\Country case studies\Australia\FINAL for web\"/>
    </mc:Choice>
  </mc:AlternateContent>
  <bookViews>
    <workbookView xWindow="0" yWindow="0" windowWidth="20490" windowHeight="7155" tabRatio="500"/>
  </bookViews>
  <sheets>
    <sheet name="Overview" sheetId="8" r:id="rId1"/>
    <sheet name="National Subsidies" sheetId="1" r:id="rId2"/>
    <sheet name="SOE Investment" sheetId="2" r:id="rId3"/>
    <sheet name="PF_Summary" sheetId="3" r:id="rId4"/>
    <sheet name="PF_Domestic_Full" sheetId="5" r:id="rId5"/>
    <sheet name="PF_International_Full" sheetId="6" r:id="rId6"/>
  </sheets>
  <calcPr calcId="152511"/>
  <extLst>
    <ext xmlns:mx="http://schemas.microsoft.com/office/mac/excel/2008/main" uri="http://schemas.microsoft.com/office/mac/excel/2008/main">
      <mx:ArchID Flags="2"/>
    </ext>
  </extLst>
</workbook>
</file>

<file path=xl/calcChain.xml><?xml version="1.0" encoding="utf-8"?>
<calcChain xmlns="http://schemas.openxmlformats.org/spreadsheetml/2006/main">
  <c r="E4" i="1" l="1"/>
  <c r="G4" i="1"/>
  <c r="G5" i="1"/>
  <c r="E6" i="1"/>
  <c r="G6" i="1"/>
  <c r="F7" i="1"/>
  <c r="G7" i="1" s="1"/>
  <c r="E7" i="1"/>
  <c r="E8" i="1"/>
  <c r="G8" i="1"/>
  <c r="F9" i="1"/>
  <c r="G9" i="1" s="1"/>
  <c r="E9" i="1"/>
  <c r="E10" i="1"/>
  <c r="G10" i="1"/>
  <c r="E11" i="1"/>
  <c r="G11" i="1"/>
  <c r="E12" i="1"/>
  <c r="G12" i="1"/>
  <c r="E13" i="1"/>
  <c r="G13" i="1"/>
  <c r="G14" i="1"/>
  <c r="G15" i="1"/>
  <c r="G16" i="1"/>
  <c r="G18" i="1"/>
  <c r="G21" i="1"/>
  <c r="G22" i="1"/>
  <c r="G23" i="1"/>
  <c r="G24" i="1"/>
  <c r="G25" i="1"/>
  <c r="G26" i="1"/>
  <c r="G27" i="1"/>
  <c r="F28" i="1"/>
  <c r="E28" i="1"/>
  <c r="G28" i="1"/>
  <c r="F29" i="1"/>
  <c r="E29" i="1"/>
  <c r="G29" i="1"/>
  <c r="F30" i="1"/>
  <c r="G30" i="1" s="1"/>
  <c r="E30" i="1"/>
  <c r="F31" i="1"/>
  <c r="G31" i="1" s="1"/>
  <c r="E31" i="1"/>
  <c r="E5" i="1"/>
  <c r="E32" i="1"/>
  <c r="E15" i="5"/>
  <c r="D15" i="5"/>
  <c r="G15" i="5"/>
  <c r="H15" i="5" s="1"/>
  <c r="D14" i="6"/>
  <c r="B14" i="6"/>
  <c r="G14" i="6"/>
  <c r="H14" i="6" s="1"/>
  <c r="C10" i="3"/>
  <c r="C12" i="3"/>
  <c r="D10" i="3"/>
  <c r="D6" i="3"/>
  <c r="E10" i="3"/>
  <c r="E12" i="3" s="1"/>
  <c r="E6" i="3"/>
  <c r="G6" i="3" s="1"/>
  <c r="F10" i="3"/>
  <c r="F6" i="3"/>
  <c r="F12" i="3"/>
  <c r="G10" i="3"/>
  <c r="H10" i="3"/>
  <c r="B10" i="3"/>
  <c r="B12" i="3"/>
  <c r="H6" i="3" l="1"/>
  <c r="H12" i="3" s="1"/>
  <c r="G12" i="3"/>
  <c r="G32" i="1"/>
  <c r="D12" i="3"/>
  <c r="F32" i="1"/>
</calcChain>
</file>

<file path=xl/sharedStrings.xml><?xml version="1.0" encoding="utf-8"?>
<sst xmlns="http://schemas.openxmlformats.org/spreadsheetml/2006/main" count="337" uniqueCount="169">
  <si>
    <t>Finance to support drilling contracts with Australian Pacific LNG and Gladstone GLNG to produce liquefied natural gas for export</t>
  </si>
  <si>
    <t>Support to Lean Field Developments for oil and gas pipeline supply and laying</t>
  </si>
  <si>
    <t>Ichthys LNG mining - oil &amp; gas extraction</t>
  </si>
  <si>
    <t>Gas analyser houses</t>
  </si>
  <si>
    <t>Construct various facilities at two gasfield sites</t>
  </si>
  <si>
    <t xml:space="preserve">Underground high voltage cable </t>
  </si>
  <si>
    <t>Design, supply and install analysers/instrumentation for APLNG</t>
  </si>
  <si>
    <t>Natural Gas</t>
  </si>
  <si>
    <t>Oil and Gas</t>
  </si>
  <si>
    <t xml:space="preserve">EFIC (2014) "Annual Reports archive" Canberra: Export Finance and Insurance Corporation, Government of Australia. </t>
  </si>
  <si>
    <t xml:space="preserve">EFIC (2013) "Annual Reports archive" Canberra: Export Finance and Insurance Corporation, Government of Australia. </t>
  </si>
  <si>
    <t>Upstream</t>
  </si>
  <si>
    <t>Midstream</t>
  </si>
  <si>
    <t xml:space="preserve">Midstream and Downstream Oil &amp; Gas </t>
  </si>
  <si>
    <t>Estimated annual amount, million USD</t>
  </si>
  <si>
    <t xml:space="preserve">Source </t>
  </si>
  <si>
    <t>Notes</t>
  </si>
  <si>
    <t>Direct spending</t>
  </si>
  <si>
    <t>Coal Sector Jobs Package</t>
  </si>
  <si>
    <t xml:space="preserve">The Coal Sector Jobs Package provided transitional assistance to coal miners with high fugitive emissions of greenhouse gases to compensate them for the carbon tax that Australia levied between July 2012 and July 2014. Payments were based on a mine’s production level and emissions intensity and commenced in FY2011/12. Following the repeal of the carbon tax, the programme was terminated effective 1 July 2014 and the final payments disbursed in FY2013/14. 
Recipients of assistance provided under the Coal Sector Jobs Package included the Brazil-based Vale mining conglomerate, Endeavour Coal PTY Limited (a subsidiary of BHP Billiton), and the Anglo-Swiss group Xstrata (now part of the Glencore group). Eligible mines were all located in New South Wales and Queensland so that the entire measure is allocated to hard coal (Victoria is the only Australian state producing lignite). </t>
  </si>
  <si>
    <t>OECD, 2015</t>
  </si>
  <si>
    <t xml:space="preserve">Multiple or unspecified fossil fuels </t>
    <phoneticPr fontId="4" type="noConversion"/>
  </si>
  <si>
    <t xml:space="preserve">Total fossil fuel finance 2013 &amp; 2014 </t>
    <phoneticPr fontId="4" type="noConversion"/>
  </si>
  <si>
    <t>Subtotal international</t>
  </si>
  <si>
    <t>Totals 2013/2014</t>
  </si>
  <si>
    <t>Stage</t>
  </si>
  <si>
    <t>Source</t>
    <phoneticPr fontId="4" type="noConversion"/>
  </si>
  <si>
    <t>Downstream Coal</t>
  </si>
  <si>
    <t xml:space="preserve">Upstream Oil &amp; Gas </t>
  </si>
  <si>
    <t xml:space="preserve">Downstream Oil &amp; Gas </t>
  </si>
  <si>
    <t>Annual avg. fossil fuel finance</t>
  </si>
  <si>
    <t>Subtotal domestic</t>
  </si>
  <si>
    <t>Subsidy</t>
  </si>
  <si>
    <t>Subsidy type</t>
  </si>
  <si>
    <t>Targeted energy source</t>
  </si>
  <si>
    <t>2013 estimate</t>
  </si>
  <si>
    <t>2014 estimate</t>
  </si>
  <si>
    <t>Tax expenditure</t>
  </si>
  <si>
    <t>Total National Subsidies</t>
  </si>
  <si>
    <t>Institution name</t>
  </si>
  <si>
    <t>Domestic</t>
  </si>
  <si>
    <t>International</t>
  </si>
  <si>
    <t>Project</t>
  </si>
  <si>
    <t>Description</t>
  </si>
  <si>
    <t>Fossil Fuel Sector</t>
  </si>
  <si>
    <t>Value</t>
  </si>
  <si>
    <t>Period</t>
  </si>
  <si>
    <t>Recipient Country</t>
  </si>
  <si>
    <t>PF Institution</t>
  </si>
  <si>
    <t>Upstream Coal</t>
  </si>
  <si>
    <t>Export Finance and Insurance Corporation</t>
  </si>
  <si>
    <t>Bothar Boring and Tunnelling</t>
  </si>
  <si>
    <t>Queensland LNG</t>
  </si>
  <si>
    <t>Ichthys LNG</t>
  </si>
  <si>
    <t>Queensland Curtis LNG</t>
  </si>
  <si>
    <t>Gas Field Development</t>
  </si>
  <si>
    <t>Oil and gas pipelines</t>
  </si>
  <si>
    <t>Australia Pacific LNG</t>
  </si>
  <si>
    <t>Australia</t>
  </si>
  <si>
    <t xml:space="preserve">The Coal Mining Abatement Technology Support Package (CMATSP) was adopted in 2012 by the federal government to support the development of technologies and best practices for reducing greenhouse-gas emissions in Australia’s coal-mining sector. Total funding for this programme amounts to AUD 70 million over the period 2012-16 and covers a range of projects seeking to mitigate fugitive methane emissions and improve health and safety conditions in underground coal mines. Grants are provided on a co-contribution basis so that the private sector and state funding must at least match federal funds for any given project. 
As with the Coal Sector Jobs Package, the CMATSP was meant to compensate operators of coal mines in Australia for the carbon tax that the government levied between July 2012 and July 2014. Despite the repeal of that tax, budget documents for FY2014/15 indicate that payments under the CMATSP are still ongoing, presumably due to the continued funding of projects already approved. 
The bulk of assistance provided through the CMATSP benefits underground hard-coal mines located in New South Wales and Queensland. </t>
  </si>
  <si>
    <t>Coal industry development (Western Australia)</t>
  </si>
  <si>
    <t>This measure provides support to expand coal companies’ market opportunities overseas and domestically, to improve coal-related infrastructure in Western Australia, and to promote R&amp;D activities in relation to coal gasification and geo-sequestration. It forms part of Western Australia’s broader Coal Futures Strategy, which seeks to encourage the production of hard coal in the state.</t>
  </si>
  <si>
    <t>Clough Ltd</t>
  </si>
  <si>
    <t>Xstrata Coal Queensland</t>
  </si>
  <si>
    <t>Anglo Coal Australia</t>
  </si>
  <si>
    <t>NRW Holdings Ltd</t>
  </si>
  <si>
    <t>Coking coal</t>
  </si>
  <si>
    <t>Papua New Guinea LNG Project</t>
  </si>
  <si>
    <t>Global</t>
  </si>
  <si>
    <t>Papua New Guinea</t>
  </si>
  <si>
    <t>Construction and engineering services for oil and gas projects</t>
  </si>
  <si>
    <t>Coking coal mining</t>
  </si>
  <si>
    <t>Support for coking coal mining</t>
  </si>
  <si>
    <t>Mining / construction services</t>
  </si>
  <si>
    <t>Heavy and civil engineering construction for PNG LNG</t>
  </si>
  <si>
    <t>Coal</t>
  </si>
  <si>
    <t>-</t>
  </si>
  <si>
    <t xml:space="preserve">In April 2008 houses located on the site of a former coal mine in the state of Queensland were damaged when the ground subsided. Funding of AUD 10 million was then allocated in the FY2008/09 state budget to repair homes, or purchase homes considered not economically repairable. In FY2009/10, a further AUD 5.6 million were allocated to cover the costs of additional home purchases and repairs. The FY2011/12 budget extended funding with AUD 3.2 million set aside to investigate the feasibility of a mine-filling programme in Collingwood Park. Normally, the mining industry would be held liable for damages associated with land subsidence. </t>
  </si>
  <si>
    <t>Remediation</t>
  </si>
  <si>
    <t>Collingwood Park Mine Subsidence Package (Queensland)</t>
  </si>
  <si>
    <t>(New South Wales) New Frontiers</t>
  </si>
  <si>
    <t xml:space="preserve">The New Frontiers programme enhances the earlier Exploration NSW initiative by providing funding to encourage further exploration of New South Wales’s mineral and hydrocarbon resources. As with the Exploration NSW initiative, this programme does not fund exploration directly but rather contributes to the collection of geophysical data and mapping, which are then later used by mining companies. </t>
  </si>
  <si>
    <t>Exploration</t>
  </si>
  <si>
    <t>OECD, 2015. 2012 estimate, the most recent year for which data was available, is used here</t>
  </si>
  <si>
    <t>Exploration Incentive Scheme (Western Australia)</t>
  </si>
  <si>
    <t>Coal, oil, and gas</t>
  </si>
  <si>
    <t xml:space="preserve">The Creating Opportunities for Resource Exploration (CORE) programme is a two-year initiative managed by the Northern Territory Geological Survey that commenced in FY2013/14. It seeks to stimulate exploration and discovery of new mineral and petroleum resources in the state, including through the acquisition of new geoscience information, the provision of grants for high-risk exploration projects, and a range of other measures to attract international investment in the Territory. </t>
  </si>
  <si>
    <t xml:space="preserve">The Exploration Incentive Scheme (EIS) was a AUD 80 million initiative that aimed to promote mineral and hydrocarbon exploration in the state of Western Australia. It started in 2008 and comprised six different sub-programmes concerned with geophysical data collection and mapping, application processes for mining companies, technology diffusion, and innovative drilling. </t>
  </si>
  <si>
    <t>Creating Opportunities for Resource Exploration (Northern Territory)</t>
  </si>
  <si>
    <t>Extraction</t>
  </si>
  <si>
    <t>Oil and gas</t>
  </si>
  <si>
    <t>Middle Arm Industrial Precinct (Northern Territory)</t>
  </si>
  <si>
    <t xml:space="preserve">Since 2012, Australia’s Northern Territory (NT) has been funding the development of the Middle Arm Industrial Precinct, a multi-million industrial complex located in Darwin Harbour that is set to contain one of the world’s largest LNG facilities. Under this project, natural gas and gas condensate are to be sourced from the Browse Basin, located off Western Australia’s coast, for subsequent liquefaction and export. According to budget records, the NT Government has supported the project by funding the development of headworks infrastructure for power and water supply. The FY2012/13 budget thus allocated AUD 15.5 million for the construction of water-supply headworks. In FY2013/14, the government similarly records having spent an additional AUD 15 million to facilitate water supplies to the project. The budget documents for FY2014/15 show no spending on the project, however. </t>
  </si>
  <si>
    <t>Port Bonython Refurbishment</t>
  </si>
  <si>
    <t>Natural gas</t>
  </si>
  <si>
    <t>Refining</t>
  </si>
  <si>
    <t xml:space="preserve">Since 2011, budget statements of the South Australian Government have reported expenditures for the refurbishment of the Port Bonython jetty, a port close to Whyalla at the north end of Spencer Gulf. Port Bonython’s jetty is 2.4 kilometres long and has facilities for loading ships and road tankers, foremostly with liquefied petroleum gas (LPG). The jetty loads approximately 30 ships a year, with a maximum tanker size capacity of 110 000 tonnes. </t>
  </si>
  <si>
    <t>Transportation</t>
  </si>
  <si>
    <t xml:space="preserve">This measure covers funding that the state of New South Wales provided to enhance capacity along the Gap to Narrabri railroad in the Hunter Valley. This extension of freight capacity was specifically undertaken in response to projected increases in coal exports from new mines in the nearby Gunnedah basin. Beneficiaries include the Maules Creek project, Australia’s largest coal mine under construction as of September 2014, and the Vickery South mine. </t>
  </si>
  <si>
    <t>Not available</t>
  </si>
  <si>
    <t>Support for Enhancing Railroad Capacity in the Hunter Valley</t>
  </si>
  <si>
    <t>Capital Expenditure Deduction for Mining, Quarrying and Petroleum Operations</t>
  </si>
  <si>
    <t xml:space="preserve">Mining, quarrying, and petroleum companies operating in Australia have had the opportunity to depreciate certain assets in an accelerated manner since the 1920s in some cases. The most recent version of this long-standing tax provision allows companies to deduct eligible capital expenditures over ten years or the life of the project, whichever is shorter.[1] Although the measure was phased out in July 2001, the accelerated depreciation of assets acquired before that date still resulted in small amounts of revenue foregone as of FY 2014/15. </t>
  </si>
  <si>
    <t xml:space="preserve">This concession was originally introduced in 1977 and exempted condensates from the excise tax that used to be levied on crude-oil production not subject to the PRRT (not to be confused with excise duties levied on motor fuels). Although the exemption was formally abolished in 2008, condensate has remained subject to a lower rate of excise than that applied to fields discovered prior to September 1975, which is the Treasury benchmark for crude-oil excise. The measure therefore remained a significant tax expenditure until its complete phase out in 2011. 
As of 1 July 2012, condensate is now taxable under the Petroleum Resource Rent Tax (PRRT). This change effectively removed the tax expenditure associated with the lower taxation of condensate under the crude-oil excise. </t>
  </si>
  <si>
    <t xml:space="preserve">Exemption from Crude-Oil Excise for Condensate </t>
  </si>
  <si>
    <t>Exploration and Prospecting Deduction</t>
  </si>
  <si>
    <t xml:space="preserve">This provision was introduced in 1968 and phased out in 2013. It allowed mining, quarrying, and petroleum companies to deduct exploration and prospecting expenses in full in the year in which they were incurred for income-tax purposes. Contrary to what happens under the PRRT’s cash-flow regime, the immediate write-off of exploration and prospecting expenses does constitute a tax expenditure under the regular corporate income tax. </t>
  </si>
  <si>
    <t>Exploration Development Incentive</t>
  </si>
  <si>
    <t>Coal Mining Technology Abatement Support Package</t>
  </si>
  <si>
    <t>Fuel tax credits to mining companies for fuel consumption</t>
  </si>
  <si>
    <t>Oil, gas and coal</t>
  </si>
  <si>
    <t>Field development</t>
  </si>
  <si>
    <t>Statutory effective life caps – accelerated depreciation for fossil-fuel assets</t>
  </si>
  <si>
    <t>Deduction for capital works expenditure</t>
  </si>
  <si>
    <t xml:space="preserve">Favourable uplift rate for Petroleum Resource Rent Tax (PRRT) for exploration and other expenditures and losses </t>
  </si>
  <si>
    <t>Gaining access and field development</t>
  </si>
  <si>
    <t>Energy Security Fund</t>
  </si>
  <si>
    <t>Electricity production</t>
  </si>
  <si>
    <t xml:space="preserve">Carbon Price Mechanism thresholds for obligations </t>
  </si>
  <si>
    <t>Coal and natural gas</t>
  </si>
  <si>
    <t>[PHASED OUT in 2011 - used to be $500m+ per year] - OECD, 2015</t>
  </si>
  <si>
    <t>[PHASED OUT in 2013 - used to be $300m+ per year] - OECD, 2015</t>
  </si>
  <si>
    <t>(Department of the Treasury 2015; Grundoff, 2013) - http://www.tai.org.au/content/pouring-more-fuel-fire</t>
  </si>
  <si>
    <t>(Department of the Treasury, 2015; Environment Victoria and Market Forces, 2014) - http://environmentvictoria.org.au/newsite/sites/default/files/useruploads/EV%20&amp;%20MF_Fossil%20fuel%20subsidies%20in%202014_FINAL.pdf</t>
  </si>
  <si>
    <t>(Environment Victoria and Market Forces, 2014) - http://environmentvictoria.org.au/newsite/sites/default/files/useruploads/EV%20&amp;%20MF_Fossil%20fuel%20subsidies%20in%202014_FINAL.pdf</t>
  </si>
  <si>
    <t>Repealed w/ carbon price - from (Environment Victoria and Market Forces, 2014) - http://environmentvictoria.org.au/newsite/sites/default/files/useruploads/EV%20&amp;%20MF_Fossil%20fuel%20subsidies%20in%202014_FINAL.pdf</t>
  </si>
  <si>
    <t xml:space="preserve">This figure was derived by calculating the oil, gas, and coal mining shares (including proportional exploration and general services support under the mining sector heading) and electricity generation shares listed in the following source: Government of Australia, Australian Taxation Office. Table 3: Fuel tax credits scheme – claims paid by industry, 2006–07 to 2013–14 financial years. Available at https://www.ato.gov.au/About-ATO/Research-and-statistics/In-detail/Tax-statistics/Taxation-statistics-2012-13/?anchor=exc_detailed#exc_detailed </t>
  </si>
  <si>
    <t>Payment to Origin Energy on termination of Cobbora mine coal supply contract (New South Wales)</t>
  </si>
  <si>
    <t>http://www.abc.net.au/news/2013-07-01/nsw-dumps-27dud27-cobbora-mine-contract/4791554</t>
  </si>
  <si>
    <t>NSW government paid out $300 million to Origin Energy to compensate for a cancelled coal supply contract (the contract was itself a form of producer subsidy as a guarantee provided to coal-fired electricity generators for coal at a particular price)</t>
  </si>
  <si>
    <t>RG Tanna Coal Terminal capital injection (Queensland)</t>
  </si>
  <si>
    <t>Queensland Government State Budget: Capital Statement 2012 to 2013 - https://www.treasury.qld.gov.au/publications-resources/state-budget/2012-13/budget-papers/documents/bp3-2012-13.pdf</t>
  </si>
  <si>
    <t>Abbot Point Terminal expansion planning (Queensland)</t>
  </si>
  <si>
    <t>Queensland Government State Budget: Capital Statement 2012 to 2013 - https://www.treasury.qld.gov.au/publications-resources/state-budget/2012-13/budget-papers/documents/bp3-2012-13.pdf and Queensland Government State Budget: Capital Statement 2013 to 2014 - https://treasury.qld.gov.au/publications-resources/state-budget/2013-14/budget-papers/documents/bp3-2013-14.pdf</t>
  </si>
  <si>
    <t>R&amp;D</t>
  </si>
  <si>
    <t>Coal Innovation NSW Fund</t>
  </si>
  <si>
    <t>http://www.resourcesandenergy.nsw.gov.au/__data/assets/pdf_file/0009/573246/Report-to-NSW-Parliament-2013-14.pdf and http://www.parliament.nsw.gov.au/prod/la/latabdoc.nsf/09874fcb6bf62d7bca25739c0023e509/4e439ad231958195ca257c8a0015a7f4/$FILE/CINSWF%2030-06-13.pdf</t>
  </si>
  <si>
    <t>https://treasury.qld.gov.au/publications-resources/state-budget/2013-14/budget-papers/documents/bp3-2013-14.pdf and https://www.treasury.qld.gov.au/publications-resources/state-budget/2012-13/budget-papers/documents/bp3-2012-13.pdf</t>
  </si>
  <si>
    <t>http://www.ourstatebudget.wa.gov.au/uploadedFiles/State_Budget/Budget_2013_14/bp2_chpt_3v2.pdf</t>
  </si>
  <si>
    <t xml:space="preserve">Verve Energy fossil fuel plant portfolio upgrades (Western Australia)     </t>
  </si>
  <si>
    <t xml:space="preserve">Horizon Power Carnavaron Power Station, Karratha Temporary Generation projects, and South Hedland project (Western Australia)             </t>
  </si>
  <si>
    <t xml:space="preserve">
</t>
  </si>
  <si>
    <t>The authors welcome feedback on the full report, on the country study, and on this data sheet to improve the accuracy and transparency of information on G20 government support to fossil fuel production.</t>
  </si>
  <si>
    <t>Contents:</t>
  </si>
  <si>
    <t>National subsidies</t>
  </si>
  <si>
    <t>SOE investment</t>
  </si>
  <si>
    <t>Public finance (summary)</t>
  </si>
  <si>
    <t>Public finance (domestic - full)</t>
  </si>
  <si>
    <t>Public finance (international - full)</t>
  </si>
  <si>
    <r>
      <t>National subsidies (</t>
    </r>
    <r>
      <rPr>
        <b/>
        <sz val="10"/>
        <color indexed="62"/>
        <rFont val="Arial"/>
        <family val="2"/>
      </rPr>
      <t xml:space="preserve">million </t>
    </r>
    <r>
      <rPr>
        <b/>
        <sz val="10"/>
        <color rgb="FF4F81BD"/>
        <rFont val="Arial"/>
        <family val="2"/>
      </rPr>
      <t>USD  - except where otherwise indicated)</t>
    </r>
  </si>
  <si>
    <t>We have identified some majority (&gt;50%) state owned (sub-national) utilities that are primarily fossil fuel powered. However, we did not include sub-national SOE investment in our analysis (see methodology in main report and Australia Country Study).</t>
  </si>
  <si>
    <t>SOE Investment (USD million  - except where otherwise indicated)</t>
  </si>
  <si>
    <r>
      <t>Public finance summary (USD</t>
    </r>
    <r>
      <rPr>
        <b/>
        <sz val="10"/>
        <color indexed="62"/>
        <rFont val="Arial"/>
        <family val="2"/>
      </rPr>
      <t xml:space="preserve"> million</t>
    </r>
    <r>
      <rPr>
        <b/>
        <sz val="10"/>
        <color rgb="FF4F81BD"/>
        <rFont val="Arial"/>
        <family val="2"/>
      </rPr>
      <t xml:space="preserve"> - except where otherwise indicated)</t>
    </r>
  </si>
  <si>
    <t>Public finance domestic (full) (USD  - except where otherwise indicated)</t>
  </si>
  <si>
    <t>Public finance international (full) (USD  - except where otherwise indicated)</t>
  </si>
  <si>
    <t>Coal mining</t>
    <phoneticPr fontId="5" type="noConversion"/>
  </si>
  <si>
    <t xml:space="preserve">Coal fired power </t>
    <phoneticPr fontId="5" type="noConversion"/>
  </si>
  <si>
    <t>Upstream oil and gas</t>
    <phoneticPr fontId="5" type="noConversion"/>
  </si>
  <si>
    <t>Oil and gas pipelines, power plants and refineries</t>
    <phoneticPr fontId="5" type="noConversion"/>
  </si>
  <si>
    <t>Multiple or unspecified fossil fuels</t>
    <phoneticPr fontId="5" type="noConversion"/>
  </si>
  <si>
    <t xml:space="preserve">Total fossil fuel finance 2013 &amp; 2014 </t>
    <phoneticPr fontId="4" type="noConversion"/>
  </si>
  <si>
    <t>Multilateral development banks</t>
    <phoneticPr fontId="4" type="noConversion"/>
  </si>
  <si>
    <t>Capital injection to CS Energy Limited for mprovements to Callide and Kogan Creek power stations and mines (Queensland)</t>
  </si>
  <si>
    <t>Capital injection to Stanwell Corporation for coal power plant and mine improvements, including Meandu Mine, Tarong Power Station, Stanwell Power Station, Mica Creek Power Station, Swanbank Power Station (Queensland)</t>
  </si>
  <si>
    <t>G20 SUBSIDIES FOR OIL, GAS AND COAL PRODUCTION: AUSTRALIA</t>
  </si>
  <si>
    <r>
      <t xml:space="preserve">For the purpose of this report, production subsidies for fossil fuels include: national subsidies, investment by state-owned enterprises (SOEs), and public finance. The full report provides a detailed discussion of technical and transparency issues in identifying fossil production subsidies, and outlines the methodology used in this desk-based study. </t>
    </r>
    <r>
      <rPr>
        <b/>
        <sz val="10"/>
        <color indexed="8"/>
        <rFont val="Arial"/>
        <family val="2"/>
      </rPr>
      <t>In addition, a brief outline of the methodology used in this report is also in the country summary.</t>
    </r>
  </si>
  <si>
    <t>Read the Australia country study: http://www.odi.org/publications/10071-g20-subsidies-oil-gas-coal-production-australia</t>
  </si>
  <si>
    <t xml:space="preserve">Read the full report: http://odi.org/empty-promises  </t>
  </si>
  <si>
    <r>
      <t xml:space="preserve">This data sheet is a background paper to the report </t>
    </r>
    <r>
      <rPr>
        <i/>
        <sz val="10"/>
        <rFont val="Arial"/>
        <family val="2"/>
      </rPr>
      <t>Empty promises: G20 subsidies to oil, gas and coal production</t>
    </r>
    <r>
      <rPr>
        <sz val="10"/>
        <rFont val="Arial"/>
        <family val="2"/>
      </rPr>
      <t xml:space="preserve"> by Oil Change International (OCI) and the Overseas Development Institute (ODI). It builds on the research completed for the report </t>
    </r>
    <r>
      <rPr>
        <i/>
        <sz val="10"/>
        <rFont val="Arial"/>
        <family val="2"/>
      </rPr>
      <t>The fossil fuel bailout: G20 subsidies to oil, gas and coal exploration</t>
    </r>
    <r>
      <rPr>
        <sz val="10"/>
        <rFont val="Arial"/>
        <family val="2"/>
      </rPr>
      <t>, published in 2014.</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</si>
</sst>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8" x14ac:knownFonts="1">
    <font>
      <sz val="12"/>
      <color theme="1"/>
      <name val="Calibri"/>
      <family val="2"/>
      <scheme val="minor"/>
    </font>
    <font>
      <u/>
      <sz val="12"/>
      <color theme="10"/>
      <name val="Calibri"/>
      <family val="2"/>
      <scheme val="minor"/>
    </font>
    <font>
      <u/>
      <sz val="12"/>
      <color theme="11"/>
      <name val="Calibri"/>
      <family val="2"/>
      <scheme val="minor"/>
    </font>
    <font>
      <b/>
      <sz val="13"/>
      <color rgb="FF4F81BD"/>
      <name val="Calibri"/>
      <family val="2"/>
      <scheme val="minor"/>
    </font>
    <font>
      <sz val="8"/>
      <name val="Verdana"/>
      <family val="2"/>
    </font>
    <font>
      <sz val="12"/>
      <color indexed="8"/>
      <name val="Calibri"/>
      <family val="2"/>
    </font>
    <font>
      <sz val="10"/>
      <color indexed="8"/>
      <name val="Arial"/>
      <family val="2"/>
    </font>
    <font>
      <b/>
      <sz val="10"/>
      <color indexed="8"/>
      <name val="Arial"/>
      <family val="2"/>
    </font>
    <font>
      <i/>
      <sz val="10"/>
      <color indexed="8"/>
      <name val="Arial"/>
      <family val="2"/>
    </font>
    <font>
      <sz val="10"/>
      <color indexed="8"/>
      <name val="Arial"/>
      <family val="2"/>
    </font>
    <font>
      <u/>
      <sz val="10"/>
      <color indexed="12"/>
      <name val="Arial"/>
      <family val="2"/>
    </font>
    <font>
      <sz val="10"/>
      <color rgb="FF666666"/>
      <name val="Arial"/>
      <family val="2"/>
    </font>
    <font>
      <sz val="10"/>
      <color indexed="8"/>
      <name val="Arial"/>
      <family val="2"/>
    </font>
    <font>
      <b/>
      <sz val="10"/>
      <color rgb="FF4F81BD"/>
      <name val="Arial"/>
      <family val="2"/>
    </font>
    <font>
      <b/>
      <sz val="10"/>
      <color indexed="62"/>
      <name val="Arial"/>
      <family val="2"/>
    </font>
    <font>
      <sz val="10"/>
      <name val="Arial"/>
      <family val="2"/>
    </font>
    <font>
      <i/>
      <sz val="10"/>
      <name val="Arial"/>
      <family val="2"/>
    </font>
    <font>
      <u/>
      <sz val="12"/>
      <color indexed="12"/>
      <name val="Calibri"/>
      <family val="2"/>
      <scheme val="minor"/>
    </font>
  </fonts>
  <fills count="6">
    <fill>
      <patternFill patternType="none"/>
    </fill>
    <fill>
      <patternFill patternType="gray125"/>
    </fill>
    <fill>
      <patternFill patternType="solid">
        <fgColor indexed="22"/>
        <bgColor indexed="64"/>
      </patternFill>
    </fill>
    <fill>
      <patternFill patternType="solid">
        <fgColor theme="0"/>
        <bgColor indexed="64"/>
      </patternFill>
    </fill>
    <fill>
      <patternFill patternType="solid">
        <fgColor indexed="9"/>
        <bgColor indexed="64"/>
      </patternFill>
    </fill>
    <fill>
      <patternFill patternType="solid">
        <fgColor theme="9"/>
        <bgColor indexed="64"/>
      </patternFill>
    </fill>
  </fills>
  <borders count="31">
    <border>
      <left/>
      <right/>
      <top/>
      <bottom/>
      <diagonal/>
    </border>
    <border>
      <left style="medium">
        <color auto="1"/>
      </left>
      <right style="medium">
        <color auto="1"/>
      </right>
      <top style="medium">
        <color auto="1"/>
      </top>
      <bottom style="medium">
        <color auto="1"/>
      </bottom>
      <diagonal/>
    </border>
    <border>
      <left style="medium">
        <color auto="1"/>
      </left>
      <right style="medium">
        <color auto="1"/>
      </right>
      <top/>
      <bottom style="medium">
        <color auto="1"/>
      </bottom>
      <diagonal/>
    </border>
    <border>
      <left/>
      <right style="medium">
        <color auto="1"/>
      </right>
      <top style="medium">
        <color auto="1"/>
      </top>
      <bottom style="medium">
        <color auto="1"/>
      </bottom>
      <diagonal/>
    </border>
    <border>
      <left/>
      <right style="medium">
        <color auto="1"/>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style="medium">
        <color rgb="FF000000"/>
      </right>
      <top style="medium">
        <color indexed="64"/>
      </top>
      <bottom style="medium">
        <color indexed="64"/>
      </bottom>
      <diagonal/>
    </border>
    <border>
      <left style="medium">
        <color rgb="FF000000"/>
      </left>
      <right style="medium">
        <color rgb="FF000000"/>
      </right>
      <top style="medium">
        <color indexed="64"/>
      </top>
      <bottom style="medium">
        <color indexed="64"/>
      </bottom>
      <diagonal/>
    </border>
    <border>
      <left style="medium">
        <color rgb="FF000000"/>
      </left>
      <right style="medium">
        <color indexed="64"/>
      </right>
      <top style="medium">
        <color indexed="64"/>
      </top>
      <bottom style="medium">
        <color indexed="64"/>
      </bottom>
      <diagonal/>
    </border>
    <border>
      <left style="medium">
        <color indexed="64"/>
      </left>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s>
  <cellStyleXfs count="4">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cellStyleXfs>
  <cellXfs count="116">
    <xf numFmtId="0" fontId="0" fillId="0" borderId="0" xfId="0"/>
    <xf numFmtId="0" fontId="3" fillId="0" borderId="0" xfId="0" applyFont="1"/>
    <xf numFmtId="0" fontId="6" fillId="0" borderId="0" xfId="0" applyFont="1"/>
    <xf numFmtId="0" fontId="9" fillId="0" borderId="2" xfId="0" applyFont="1" applyBorder="1" applyAlignment="1">
      <alignment vertical="center" wrapText="1"/>
    </xf>
    <xf numFmtId="0" fontId="9" fillId="0" borderId="3" xfId="0" applyFont="1" applyBorder="1" applyAlignment="1">
      <alignment vertical="center" wrapText="1"/>
    </xf>
    <xf numFmtId="3" fontId="9" fillId="0" borderId="3" xfId="0" applyNumberFormat="1" applyFont="1" applyBorder="1" applyAlignment="1">
      <alignment vertical="center" wrapText="1"/>
    </xf>
    <xf numFmtId="1" fontId="9" fillId="0" borderId="4" xfId="0" applyNumberFormat="1" applyFont="1" applyFill="1" applyBorder="1" applyAlignment="1">
      <alignment vertical="center" wrapText="1"/>
    </xf>
    <xf numFmtId="1" fontId="9" fillId="0" borderId="3" xfId="0" applyNumberFormat="1" applyFont="1" applyFill="1" applyBorder="1" applyAlignment="1">
      <alignment vertical="center" wrapText="1"/>
    </xf>
    <xf numFmtId="0" fontId="10" fillId="0" borderId="4" xfId="1" applyFont="1" applyBorder="1" applyAlignment="1">
      <alignment vertical="center" wrapText="1"/>
    </xf>
    <xf numFmtId="0" fontId="6" fillId="0" borderId="0" xfId="0" applyFont="1" applyAlignment="1"/>
    <xf numFmtId="0" fontId="9" fillId="0" borderId="4" xfId="0" applyFont="1" applyBorder="1" applyAlignment="1">
      <alignment vertical="center" wrapText="1"/>
    </xf>
    <xf numFmtId="0" fontId="10" fillId="0" borderId="4" xfId="1" applyFont="1" applyBorder="1" applyAlignment="1">
      <alignment vertical="center" wrapText="1"/>
    </xf>
    <xf numFmtId="0" fontId="9" fillId="0" borderId="2" xfId="0" applyFont="1" applyFill="1" applyBorder="1" applyAlignment="1">
      <alignment vertical="center" wrapText="1"/>
    </xf>
    <xf numFmtId="0" fontId="11" fillId="0" borderId="0" xfId="0" applyFont="1"/>
    <xf numFmtId="0" fontId="10" fillId="0" borderId="7" xfId="1" applyFont="1" applyBorder="1" applyAlignment="1">
      <alignment vertical="center" wrapText="1"/>
    </xf>
    <xf numFmtId="0" fontId="9" fillId="0" borderId="1" xfId="0" applyFont="1" applyBorder="1" applyAlignment="1">
      <alignment vertical="center" wrapText="1"/>
    </xf>
    <xf numFmtId="3" fontId="9" fillId="0" borderId="4" xfId="0" applyNumberFormat="1" applyFont="1" applyBorder="1" applyAlignment="1">
      <alignment vertical="center" wrapText="1"/>
    </xf>
    <xf numFmtId="0" fontId="8" fillId="0" borderId="4" xfId="0" applyFont="1" applyBorder="1" applyAlignment="1">
      <alignment vertical="center" wrapText="1"/>
    </xf>
    <xf numFmtId="0" fontId="10" fillId="0" borderId="4" xfId="1" applyFont="1" applyBorder="1" applyAlignment="1">
      <alignment vertical="center"/>
    </xf>
    <xf numFmtId="0" fontId="10" fillId="0" borderId="4" xfId="1" applyFont="1" applyBorder="1" applyAlignment="1">
      <alignment vertical="center"/>
    </xf>
    <xf numFmtId="0" fontId="6" fillId="0" borderId="0" xfId="0" applyFont="1" applyAlignment="1">
      <alignment wrapText="1"/>
    </xf>
    <xf numFmtId="3" fontId="7" fillId="0" borderId="4" xfId="0" applyNumberFormat="1" applyFont="1" applyBorder="1" applyAlignment="1">
      <alignment vertical="center" wrapText="1"/>
    </xf>
    <xf numFmtId="1" fontId="7" fillId="0" borderId="4" xfId="0" applyNumberFormat="1" applyFont="1" applyBorder="1" applyAlignment="1">
      <alignment vertical="center" wrapText="1"/>
    </xf>
    <xf numFmtId="0" fontId="7" fillId="0" borderId="4" xfId="0" applyFont="1" applyBorder="1" applyAlignment="1">
      <alignment vertical="center" wrapText="1"/>
    </xf>
    <xf numFmtId="0" fontId="6" fillId="0" borderId="0" xfId="0" applyFont="1" applyBorder="1"/>
    <xf numFmtId="1" fontId="6" fillId="0" borderId="0" xfId="0" applyNumberFormat="1" applyFont="1" applyBorder="1"/>
    <xf numFmtId="0" fontId="12" fillId="0" borderId="0" xfId="0" applyFont="1" applyBorder="1" applyAlignment="1">
      <alignment vertical="center" wrapText="1"/>
    </xf>
    <xf numFmtId="0" fontId="9" fillId="0" borderId="0" xfId="0" applyFont="1"/>
    <xf numFmtId="0" fontId="9" fillId="0" borderId="0" xfId="0" applyFont="1" applyAlignment="1">
      <alignment horizontal="justify" vertical="center"/>
    </xf>
    <xf numFmtId="0" fontId="7" fillId="0" borderId="0" xfId="0" applyFont="1" applyAlignment="1">
      <alignment horizontal="justify" vertical="center"/>
    </xf>
    <xf numFmtId="0" fontId="7" fillId="0" borderId="17"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6" fillId="0" borderId="0" xfId="0" applyFont="1" applyBorder="1" applyAlignment="1">
      <alignment wrapText="1"/>
    </xf>
    <xf numFmtId="0" fontId="6" fillId="3" borderId="0" xfId="0" applyFont="1" applyFill="1" applyBorder="1"/>
    <xf numFmtId="3" fontId="8" fillId="3" borderId="0" xfId="0" applyNumberFormat="1" applyFont="1" applyFill="1" applyBorder="1" applyAlignment="1">
      <alignment vertical="center" wrapText="1"/>
    </xf>
    <xf numFmtId="0" fontId="8" fillId="3" borderId="0" xfId="0" applyFont="1" applyFill="1" applyBorder="1" applyAlignment="1">
      <alignment vertical="center" wrapText="1"/>
    </xf>
    <xf numFmtId="1" fontId="6" fillId="3" borderId="0" xfId="0" applyNumberFormat="1" applyFont="1" applyFill="1" applyBorder="1"/>
    <xf numFmtId="0" fontId="12" fillId="3" borderId="0" xfId="0" applyFont="1" applyFill="1" applyBorder="1" applyAlignment="1">
      <alignment vertical="center" wrapText="1"/>
    </xf>
    <xf numFmtId="0" fontId="6" fillId="3" borderId="0" xfId="0" applyFont="1" applyFill="1" applyBorder="1" applyAlignment="1">
      <alignment wrapText="1"/>
    </xf>
    <xf numFmtId="0" fontId="6" fillId="0" borderId="0" xfId="0" applyFont="1" applyFill="1" applyBorder="1" applyAlignment="1">
      <alignment wrapText="1"/>
    </xf>
    <xf numFmtId="1" fontId="9" fillId="0" borderId="4" xfId="0" applyNumberFormat="1" applyFont="1" applyBorder="1" applyAlignment="1">
      <alignment vertical="center" wrapText="1"/>
    </xf>
    <xf numFmtId="0" fontId="13" fillId="0" borderId="0" xfId="0" applyFont="1" applyBorder="1" applyAlignment="1">
      <alignment horizontal="left" vertical="center"/>
    </xf>
    <xf numFmtId="0" fontId="7" fillId="0" borderId="8" xfId="0" applyFont="1" applyBorder="1" applyAlignment="1">
      <alignment horizontal="center" wrapText="1"/>
    </xf>
    <xf numFmtId="0" fontId="7" fillId="0" borderId="9" xfId="0" applyFont="1" applyBorder="1" applyAlignment="1">
      <alignment horizontal="center" wrapText="1"/>
    </xf>
    <xf numFmtId="0" fontId="7" fillId="0" borderId="9" xfId="0" applyFont="1" applyFill="1" applyBorder="1" applyAlignment="1">
      <alignment horizontal="center" wrapText="1"/>
    </xf>
    <xf numFmtId="0" fontId="7" fillId="0" borderId="10" xfId="0" applyFont="1" applyBorder="1" applyAlignment="1">
      <alignment horizontal="center" wrapText="1"/>
    </xf>
    <xf numFmtId="0" fontId="9" fillId="0" borderId="11" xfId="0" applyFont="1" applyBorder="1" applyAlignment="1"/>
    <xf numFmtId="0" fontId="9" fillId="0" borderId="12" xfId="0" applyFont="1" applyBorder="1" applyAlignment="1">
      <alignment horizontal="center" wrapText="1"/>
    </xf>
    <xf numFmtId="1" fontId="9" fillId="0" borderId="12" xfId="0" applyNumberFormat="1" applyFont="1" applyBorder="1" applyAlignment="1">
      <alignment horizontal="center" wrapText="1"/>
    </xf>
    <xf numFmtId="1" fontId="9" fillId="0" borderId="13" xfId="0" applyNumberFormat="1" applyFont="1" applyBorder="1"/>
    <xf numFmtId="1" fontId="7" fillId="2" borderId="12" xfId="0" applyNumberFormat="1" applyFont="1" applyFill="1" applyBorder="1" applyAlignment="1">
      <alignment wrapText="1"/>
    </xf>
    <xf numFmtId="1" fontId="7" fillId="2" borderId="13" xfId="0" applyNumberFormat="1" applyFont="1" applyFill="1" applyBorder="1" applyAlignment="1">
      <alignment wrapText="1"/>
    </xf>
    <xf numFmtId="0" fontId="7" fillId="0" borderId="12" xfId="0" applyFont="1" applyFill="1" applyBorder="1" applyAlignment="1">
      <alignment horizontal="right" wrapText="1"/>
    </xf>
    <xf numFmtId="1" fontId="7" fillId="0" borderId="12" xfId="0" applyNumberFormat="1" applyFont="1" applyFill="1" applyBorder="1" applyAlignment="1">
      <alignment horizontal="right" wrapText="1"/>
    </xf>
    <xf numFmtId="1" fontId="7" fillId="0" borderId="13" xfId="0" applyNumberFormat="1" applyFont="1" applyFill="1" applyBorder="1" applyAlignment="1">
      <alignment horizontal="right" wrapText="1"/>
    </xf>
    <xf numFmtId="0" fontId="7" fillId="0" borderId="3" xfId="0" applyFont="1" applyBorder="1" applyAlignment="1">
      <alignment horizontal="center" wrapText="1"/>
    </xf>
    <xf numFmtId="0" fontId="7" fillId="0" borderId="1" xfId="0" applyFont="1" applyFill="1" applyBorder="1" applyAlignment="1">
      <alignment horizontal="center" wrapText="1"/>
    </xf>
    <xf numFmtId="0" fontId="13" fillId="0" borderId="0" xfId="0" applyFont="1" applyAlignment="1">
      <alignment vertical="center"/>
    </xf>
    <xf numFmtId="1" fontId="9" fillId="0" borderId="12" xfId="0" applyNumberFormat="1" applyFont="1" applyBorder="1" applyAlignment="1">
      <alignment horizontal="center" vertical="center" wrapText="1"/>
    </xf>
    <xf numFmtId="1" fontId="9" fillId="0" borderId="12" xfId="0" applyNumberFormat="1" applyFont="1" applyBorder="1" applyAlignment="1">
      <alignment horizontal="center"/>
    </xf>
    <xf numFmtId="0" fontId="7" fillId="0" borderId="12" xfId="0" applyFont="1" applyBorder="1" applyAlignment="1">
      <alignment horizontal="center" vertical="center" wrapText="1"/>
    </xf>
    <xf numFmtId="0" fontId="6" fillId="0" borderId="0" xfId="0" applyFont="1" applyFill="1" applyAlignment="1"/>
    <xf numFmtId="0" fontId="6" fillId="0" borderId="0" xfId="0" applyFont="1" applyFill="1"/>
    <xf numFmtId="1" fontId="6" fillId="0" borderId="0" xfId="0" applyNumberFormat="1" applyFont="1" applyFill="1" applyBorder="1" applyAlignment="1"/>
    <xf numFmtId="1" fontId="9" fillId="0" borderId="12" xfId="0" quotePrefix="1" applyNumberFormat="1" applyFont="1" applyBorder="1" applyAlignment="1">
      <alignment horizontal="center" vertical="center" wrapText="1"/>
    </xf>
    <xf numFmtId="0" fontId="7" fillId="0" borderId="0" xfId="0" applyFont="1" applyFill="1" applyBorder="1" applyAlignment="1">
      <alignment horizontal="center" vertical="center" wrapText="1"/>
    </xf>
    <xf numFmtId="0" fontId="7" fillId="0" borderId="0" xfId="0" applyFont="1" applyBorder="1" applyAlignment="1">
      <alignment horizontal="center" vertical="center" wrapText="1"/>
    </xf>
    <xf numFmtId="0" fontId="6" fillId="0" borderId="20" xfId="0" applyFont="1" applyBorder="1" applyAlignment="1"/>
    <xf numFmtId="1" fontId="9" fillId="0" borderId="15" xfId="0" quotePrefix="1" applyNumberFormat="1" applyFont="1" applyBorder="1" applyAlignment="1">
      <alignment horizontal="center" vertical="center" wrapText="1"/>
    </xf>
    <xf numFmtId="164" fontId="9" fillId="0" borderId="15" xfId="0" quotePrefix="1" applyNumberFormat="1" applyFont="1" applyBorder="1" applyAlignment="1">
      <alignment horizontal="center" vertical="center" wrapText="1"/>
    </xf>
    <xf numFmtId="1" fontId="9" fillId="0" borderId="15" xfId="0" applyNumberFormat="1" applyFont="1" applyBorder="1" applyAlignment="1">
      <alignment horizontal="center" vertical="center" wrapText="1"/>
    </xf>
    <xf numFmtId="1" fontId="9" fillId="0" borderId="21" xfId="0" applyNumberFormat="1" applyFont="1" applyBorder="1" applyAlignment="1">
      <alignment horizontal="center"/>
    </xf>
    <xf numFmtId="0" fontId="6" fillId="0" borderId="0" xfId="0" applyFont="1" applyFill="1" applyAlignment="1">
      <alignment wrapText="1"/>
    </xf>
    <xf numFmtId="0" fontId="6" fillId="0" borderId="16" xfId="0" applyFont="1" applyBorder="1" applyAlignment="1"/>
    <xf numFmtId="0" fontId="13" fillId="0" borderId="0" xfId="0" applyFont="1" applyAlignment="1"/>
    <xf numFmtId="0" fontId="9" fillId="0" borderId="0" xfId="0" applyFont="1" applyAlignment="1">
      <alignment wrapText="1"/>
    </xf>
    <xf numFmtId="0" fontId="7" fillId="0" borderId="22" xfId="0" applyFont="1" applyBorder="1" applyAlignment="1">
      <alignment horizontal="center" wrapText="1"/>
    </xf>
    <xf numFmtId="0" fontId="7" fillId="0" borderId="23" xfId="0" applyFont="1" applyBorder="1" applyAlignment="1">
      <alignment horizontal="center" wrapText="1"/>
    </xf>
    <xf numFmtId="0" fontId="7" fillId="0" borderId="24" xfId="0" applyFont="1" applyBorder="1" applyAlignment="1">
      <alignment horizontal="center" wrapText="1"/>
    </xf>
    <xf numFmtId="0" fontId="9" fillId="0" borderId="12" xfId="0" applyFont="1" applyBorder="1"/>
    <xf numFmtId="1" fontId="7" fillId="2" borderId="15" xfId="0" applyNumberFormat="1" applyFont="1" applyFill="1" applyBorder="1" applyAlignment="1">
      <alignment horizontal="right" wrapText="1"/>
    </xf>
    <xf numFmtId="1" fontId="7" fillId="2" borderId="12" xfId="0" applyNumberFormat="1" applyFont="1" applyFill="1" applyBorder="1" applyAlignment="1">
      <alignment horizontal="right" wrapText="1"/>
    </xf>
    <xf numFmtId="1" fontId="7" fillId="2" borderId="12" xfId="0" applyNumberFormat="1" applyFont="1" applyFill="1" applyBorder="1" applyAlignment="1">
      <alignment horizontal="center" wrapText="1"/>
    </xf>
    <xf numFmtId="1" fontId="7" fillId="2" borderId="13" xfId="0" applyNumberFormat="1" applyFont="1" applyFill="1" applyBorder="1"/>
    <xf numFmtId="0" fontId="7" fillId="2" borderId="11" xfId="0" applyFont="1" applyFill="1" applyBorder="1" applyAlignment="1">
      <alignment horizontal="left" wrapText="1"/>
    </xf>
    <xf numFmtId="0" fontId="7" fillId="0" borderId="11" xfId="0" applyFont="1" applyFill="1" applyBorder="1" applyAlignment="1">
      <alignment horizontal="left" wrapText="1"/>
    </xf>
    <xf numFmtId="0" fontId="7" fillId="2" borderId="14" xfId="0" applyFont="1" applyFill="1" applyBorder="1" applyAlignment="1">
      <alignment horizontal="left" wrapText="1"/>
    </xf>
    <xf numFmtId="0" fontId="9" fillId="0" borderId="11" xfId="0" applyFont="1" applyBorder="1" applyAlignment="1">
      <alignment horizontal="left"/>
    </xf>
    <xf numFmtId="1" fontId="9" fillId="0" borderId="12" xfId="0" applyNumberFormat="1" applyFont="1" applyBorder="1" applyAlignment="1">
      <alignment vertical="center" wrapText="1"/>
    </xf>
    <xf numFmtId="1" fontId="9" fillId="0" borderId="13" xfId="0" applyNumberFormat="1" applyFont="1" applyBorder="1" applyAlignment="1">
      <alignment vertical="center" wrapText="1"/>
    </xf>
    <xf numFmtId="0" fontId="9" fillId="4" borderId="12" xfId="0" applyFont="1" applyFill="1" applyBorder="1" applyAlignment="1">
      <alignment wrapText="1"/>
    </xf>
    <xf numFmtId="0" fontId="9" fillId="4" borderId="13" xfId="0" applyFont="1" applyFill="1" applyBorder="1"/>
    <xf numFmtId="1" fontId="9" fillId="0" borderId="12" xfId="0" applyNumberFormat="1" applyFont="1" applyBorder="1" applyAlignment="1">
      <alignment horizontal="right" wrapText="1"/>
    </xf>
    <xf numFmtId="164" fontId="9" fillId="0" borderId="12" xfId="0" applyNumberFormat="1" applyFont="1" applyBorder="1" applyAlignment="1">
      <alignment horizontal="right" wrapText="1"/>
    </xf>
    <xf numFmtId="164" fontId="7" fillId="2" borderId="12" xfId="0" applyNumberFormat="1" applyFont="1" applyFill="1" applyBorder="1" applyAlignment="1">
      <alignment horizontal="right" wrapText="1"/>
    </xf>
    <xf numFmtId="1" fontId="7" fillId="2" borderId="12" xfId="0" applyNumberFormat="1" applyFont="1" applyFill="1" applyBorder="1" applyAlignment="1">
      <alignment horizontal="right" wrapText="1"/>
    </xf>
    <xf numFmtId="0" fontId="7" fillId="5" borderId="0" xfId="0" applyFont="1" applyFill="1" applyAlignment="1">
      <alignment vertical="center"/>
    </xf>
    <xf numFmtId="0" fontId="15" fillId="0" borderId="0" xfId="0" applyFont="1" applyAlignment="1">
      <alignment horizontal="justify" vertical="center" wrapText="1"/>
    </xf>
    <xf numFmtId="0" fontId="6" fillId="0" borderId="0" xfId="0" applyFont="1" applyAlignment="1">
      <alignment horizontal="justify" vertical="center"/>
    </xf>
    <xf numFmtId="0" fontId="1" fillId="0" borderId="0" xfId="3"/>
    <xf numFmtId="0" fontId="1" fillId="3" borderId="0" xfId="3" applyFill="1" applyAlignment="1">
      <alignment horizontal="justify" vertical="center"/>
    </xf>
    <xf numFmtId="0" fontId="1" fillId="0" borderId="0" xfId="3" applyAlignment="1">
      <alignment horizontal="justify" vertical="center"/>
    </xf>
    <xf numFmtId="0" fontId="1" fillId="0" borderId="0" xfId="3" applyFill="1" applyBorder="1" applyAlignment="1">
      <alignment horizontal="justify" vertical="center"/>
    </xf>
    <xf numFmtId="0" fontId="17" fillId="0" borderId="0" xfId="1" applyFont="1" applyFill="1" applyBorder="1" applyAlignment="1">
      <alignment horizontal="justify" vertical="center"/>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7" fillId="0" borderId="3" xfId="0" applyFont="1" applyBorder="1" applyAlignment="1">
      <alignment horizontal="center" vertical="center" wrapText="1"/>
    </xf>
    <xf numFmtId="0" fontId="13" fillId="0" borderId="0" xfId="0" applyFont="1" applyBorder="1" applyAlignment="1">
      <alignment horizontal="left" vertical="center" wrapText="1"/>
    </xf>
    <xf numFmtId="0" fontId="7" fillId="0" borderId="25" xfId="0" applyFont="1" applyBorder="1" applyAlignment="1">
      <alignment horizontal="center" wrapText="1"/>
    </xf>
    <xf numFmtId="0" fontId="9" fillId="0" borderId="26" xfId="0" applyFont="1" applyBorder="1" applyAlignment="1">
      <alignment horizontal="center" wrapText="1"/>
    </xf>
    <xf numFmtId="0" fontId="9" fillId="0" borderId="27" xfId="0" applyFont="1" applyBorder="1" applyAlignment="1">
      <alignment horizontal="center" wrapText="1"/>
    </xf>
    <xf numFmtId="0" fontId="7" fillId="0" borderId="28" xfId="0" applyFont="1" applyBorder="1" applyAlignment="1">
      <alignment horizontal="center" wrapText="1"/>
    </xf>
    <xf numFmtId="0" fontId="9" fillId="0" borderId="29" xfId="0" applyFont="1" applyBorder="1" applyAlignment="1">
      <alignment horizontal="center" wrapText="1"/>
    </xf>
    <xf numFmtId="0" fontId="9" fillId="0" borderId="30" xfId="0" applyFont="1" applyBorder="1" applyAlignment="1">
      <alignment horizontal="center" wrapText="1"/>
    </xf>
  </cellXfs>
  <cellStyles count="4">
    <cellStyle name="Followed Hyperlink" xfId="2" builtinId="9" hidden="1"/>
    <cellStyle name="Hyperlink" xfId="1" builtinId="8" hidden="1"/>
    <cellStyle name="Hyperlink" xfId="3" builtinId="8"/>
    <cellStyle name="Normal" xfId="0" builtinId="0"/>
  </cellStyles>
  <dxfs count="0"/>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www.odi.org/publications/10071-g20-subsidies-oil-gas-coal-production-australia" TargetMode="External"/><Relationship Id="rId1" Type="http://schemas.openxmlformats.org/officeDocument/2006/relationships/hyperlink" Target="http://www.odi.org/empty-promises"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s://treasury.qld.gov.au/publications-resources/state-budget/2013-14/budget-papers/documents/bp3-2013-14.pdf" TargetMode="External"/><Relationship Id="rId2" Type="http://schemas.openxmlformats.org/officeDocument/2006/relationships/hyperlink" Target="http://www.resourcesandenergy.nsw.gov.au/__data/assets/pdf_file/0009/573246/Report-to-NSW-Parliament-2013-14.pdf" TargetMode="External"/><Relationship Id="rId1" Type="http://schemas.openxmlformats.org/officeDocument/2006/relationships/hyperlink" Target="http://www.abc.net.au/news/2013-07-01/nsw-dumps-27dud27-cobbora-mine-contract/4791554" TargetMode="External"/><Relationship Id="rId6" Type="http://schemas.openxmlformats.org/officeDocument/2006/relationships/hyperlink" Target="http://www.ourstatebudget.wa.gov.au/uploadedFiles/State_Budget/Budget_2013_14/bp2_chpt_3v2.pdf" TargetMode="External"/><Relationship Id="rId5" Type="http://schemas.openxmlformats.org/officeDocument/2006/relationships/hyperlink" Target="https://treasury.qld.gov.au/publications-resources/state-budget/2013-14/budget-papers/documents/bp3-2013-14.pdf" TargetMode="External"/><Relationship Id="rId4" Type="http://schemas.openxmlformats.org/officeDocument/2006/relationships/hyperlink" Target="http://www.ourstatebudget.wa.gov.au/uploadedFiles/State_Budget/Budget_2013_14/bp2_chpt_3v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16"/>
  <sheetViews>
    <sheetView tabSelected="1" topLeftCell="B1" workbookViewId="0">
      <selection activeCell="B3" sqref="B3"/>
    </sheetView>
  </sheetViews>
  <sheetFormatPr defaultColWidth="8.875" defaultRowHeight="12.75" x14ac:dyDescent="0.2"/>
  <cols>
    <col min="1" max="1" width="8.875" style="27"/>
    <col min="2" max="2" width="112.875" style="27" customWidth="1"/>
    <col min="3" max="16384" width="8.875" style="27"/>
  </cols>
  <sheetData>
    <row r="1" spans="2:2" ht="37.5" customHeight="1" x14ac:dyDescent="0.2">
      <c r="B1" s="98" t="s">
        <v>164</v>
      </c>
    </row>
    <row r="3" spans="2:2" ht="38.25" x14ac:dyDescent="0.2">
      <c r="B3" s="99" t="s">
        <v>168</v>
      </c>
    </row>
    <row r="4" spans="2:2" ht="51" x14ac:dyDescent="0.2">
      <c r="B4" s="100" t="s">
        <v>165</v>
      </c>
    </row>
    <row r="5" spans="2:2" ht="25.5" x14ac:dyDescent="0.2">
      <c r="B5" s="28" t="s">
        <v>142</v>
      </c>
    </row>
    <row r="6" spans="2:2" x14ac:dyDescent="0.2">
      <c r="B6" s="28"/>
    </row>
    <row r="7" spans="2:2" ht="15.75" x14ac:dyDescent="0.25">
      <c r="B7" s="101" t="s">
        <v>167</v>
      </c>
    </row>
    <row r="8" spans="2:2" ht="15.75" x14ac:dyDescent="0.2">
      <c r="B8" s="102" t="s">
        <v>166</v>
      </c>
    </row>
    <row r="10" spans="2:2" x14ac:dyDescent="0.2">
      <c r="B10" s="29" t="s">
        <v>143</v>
      </c>
    </row>
    <row r="11" spans="2:2" ht="15.75" x14ac:dyDescent="0.2">
      <c r="B11" s="103" t="s">
        <v>144</v>
      </c>
    </row>
    <row r="12" spans="2:2" ht="15.75" x14ac:dyDescent="0.2">
      <c r="B12" s="104" t="s">
        <v>145</v>
      </c>
    </row>
    <row r="13" spans="2:2" ht="15.75" x14ac:dyDescent="0.2">
      <c r="B13" s="105" t="s">
        <v>146</v>
      </c>
    </row>
    <row r="14" spans="2:2" ht="15.75" x14ac:dyDescent="0.2">
      <c r="B14" s="105" t="s">
        <v>147</v>
      </c>
    </row>
    <row r="15" spans="2:2" ht="15.75" x14ac:dyDescent="0.2">
      <c r="B15" s="105" t="s">
        <v>148</v>
      </c>
    </row>
    <row r="16" spans="2:2" ht="15.75" x14ac:dyDescent="0.2">
      <c r="B16" s="105"/>
    </row>
  </sheetData>
  <phoneticPr fontId="4" type="noConversion"/>
  <hyperlinks>
    <hyperlink ref="B11" location="'National Subsidies'!A1" display="National subsidies"/>
    <hyperlink ref="B12" location="'SOE Investment'!A1" display="SOE investment"/>
    <hyperlink ref="B13" location="PF_Summary!A1" display="Public finance (summary)"/>
    <hyperlink ref="B14" location="PF_Domestic_Full!A1" display="Public finance (domestic - full)"/>
    <hyperlink ref="B15" location="PF_International_Full!A1" display="Public finance (international - full)"/>
    <hyperlink ref="B7" r:id="rId1" display="Read the full report: www.odi.org/empty-promises  "/>
    <hyperlink ref="B8" r:id="rId2"/>
  </hyperlinks>
  <pageMargins left="0.7" right="0.7" top="0.75" bottom="0.75" header="0.3" footer="0.3"/>
  <extLst>
    <ext xmlns:mx="http://schemas.microsoft.com/office/mac/excel/2008/main" uri="http://schemas.microsoft.com/office/mac/excel/2008/main">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7"/>
  <sheetViews>
    <sheetView workbookViewId="0">
      <selection activeCell="H6" sqref="H6"/>
    </sheetView>
  </sheetViews>
  <sheetFormatPr defaultColWidth="11" defaultRowHeight="12.75" x14ac:dyDescent="0.2"/>
  <cols>
    <col min="1" max="1" width="39.875" style="2" customWidth="1"/>
    <col min="2" max="7" width="11" style="2"/>
    <col min="8" max="8" width="75.125" style="2" customWidth="1"/>
    <col min="9" max="9" width="122.375" style="20" customWidth="1"/>
    <col min="10" max="11" width="11" style="2"/>
    <col min="12" max="22" width="11" style="35"/>
    <col min="23" max="16384" width="11" style="2"/>
  </cols>
  <sheetData>
    <row r="1" spans="1:21" x14ac:dyDescent="0.2">
      <c r="A1" s="43" t="s">
        <v>149</v>
      </c>
    </row>
    <row r="2" spans="1:21" ht="13.5" thickBot="1" x14ac:dyDescent="0.25"/>
    <row r="3" spans="1:21" ht="51.75" thickBot="1" x14ac:dyDescent="0.25">
      <c r="A3" s="30" t="s">
        <v>32</v>
      </c>
      <c r="B3" s="31" t="s">
        <v>33</v>
      </c>
      <c r="C3" s="31" t="s">
        <v>34</v>
      </c>
      <c r="D3" s="31" t="s">
        <v>25</v>
      </c>
      <c r="E3" s="31" t="s">
        <v>35</v>
      </c>
      <c r="F3" s="31" t="s">
        <v>36</v>
      </c>
      <c r="G3" s="31" t="s">
        <v>14</v>
      </c>
      <c r="H3" s="32" t="s">
        <v>15</v>
      </c>
      <c r="I3" s="33" t="s">
        <v>16</v>
      </c>
      <c r="L3" s="36"/>
    </row>
    <row r="4" spans="1:21" ht="77.25" thickBot="1" x14ac:dyDescent="0.25">
      <c r="A4" s="3" t="s">
        <v>18</v>
      </c>
      <c r="B4" s="10" t="s">
        <v>17</v>
      </c>
      <c r="C4" s="10" t="s">
        <v>75</v>
      </c>
      <c r="D4" s="16" t="s">
        <v>78</v>
      </c>
      <c r="E4" s="6">
        <f>229.9/1.078</f>
        <v>213.26530612244898</v>
      </c>
      <c r="F4" s="6">
        <v>0</v>
      </c>
      <c r="G4" s="6">
        <f>(F4+E4)/2</f>
        <v>106.63265306122449</v>
      </c>
      <c r="H4" s="8" t="s">
        <v>20</v>
      </c>
      <c r="I4" s="20" t="s">
        <v>19</v>
      </c>
      <c r="L4" s="37"/>
    </row>
    <row r="5" spans="1:21" ht="26.25" thickBot="1" x14ac:dyDescent="0.25">
      <c r="A5" s="3" t="s">
        <v>127</v>
      </c>
      <c r="B5" s="4" t="s">
        <v>17</v>
      </c>
      <c r="C5" s="10" t="s">
        <v>75</v>
      </c>
      <c r="D5" s="5" t="s">
        <v>78</v>
      </c>
      <c r="E5" s="6">
        <f>300/1.078</f>
        <v>278.29313543599255</v>
      </c>
      <c r="F5" s="7">
        <v>0</v>
      </c>
      <c r="G5" s="7">
        <f>278/2</f>
        <v>139</v>
      </c>
      <c r="H5" s="11" t="s">
        <v>128</v>
      </c>
      <c r="I5" s="20" t="s">
        <v>129</v>
      </c>
      <c r="L5" s="37"/>
    </row>
    <row r="6" spans="1:21" ht="102.75" thickBot="1" x14ac:dyDescent="0.25">
      <c r="A6" s="3" t="s">
        <v>108</v>
      </c>
      <c r="B6" s="4" t="s">
        <v>17</v>
      </c>
      <c r="C6" s="10" t="s">
        <v>75</v>
      </c>
      <c r="D6" s="5" t="s">
        <v>78</v>
      </c>
      <c r="E6" s="6">
        <f>6/1.078</f>
        <v>5.5658627087198509</v>
      </c>
      <c r="F6" s="7">
        <v>4.6091854419410749</v>
      </c>
      <c r="G6" s="7">
        <f t="shared" ref="G6:G12" si="0">(F6+E6)/2</f>
        <v>5.0875240753304629</v>
      </c>
      <c r="H6" s="8" t="s">
        <v>20</v>
      </c>
      <c r="I6" s="20" t="s">
        <v>59</v>
      </c>
      <c r="L6" s="37"/>
    </row>
    <row r="7" spans="1:21" ht="64.5" thickBot="1" x14ac:dyDescent="0.25">
      <c r="A7" s="12" t="s">
        <v>130</v>
      </c>
      <c r="B7" s="10" t="s">
        <v>17</v>
      </c>
      <c r="C7" s="10" t="s">
        <v>75</v>
      </c>
      <c r="D7" s="5" t="s">
        <v>97</v>
      </c>
      <c r="E7" s="6">
        <f>85.5/1.078</f>
        <v>79.313543599257883</v>
      </c>
      <c r="F7" s="7">
        <f>50.9/1.154</f>
        <v>44.107452339688045</v>
      </c>
      <c r="G7" s="7">
        <f>SUM(F7+E7)/2</f>
        <v>61.710497969472968</v>
      </c>
      <c r="H7" s="8" t="s">
        <v>133</v>
      </c>
      <c r="J7" s="13"/>
      <c r="L7" s="37"/>
    </row>
    <row r="8" spans="1:21" ht="39" thickBot="1" x14ac:dyDescent="0.25">
      <c r="A8" s="12" t="s">
        <v>132</v>
      </c>
      <c r="B8" s="10" t="s">
        <v>17</v>
      </c>
      <c r="C8" s="10" t="s">
        <v>75</v>
      </c>
      <c r="D8" s="5" t="s">
        <v>97</v>
      </c>
      <c r="E8" s="6">
        <f>11.9/1.078</f>
        <v>11.038961038961039</v>
      </c>
      <c r="F8" s="7"/>
      <c r="G8" s="7">
        <f>SUM(F8+E8)/2</f>
        <v>5.5194805194805197</v>
      </c>
      <c r="H8" s="8" t="s">
        <v>131</v>
      </c>
      <c r="J8" s="13"/>
      <c r="L8" s="37"/>
      <c r="S8" s="38"/>
      <c r="U8" s="39"/>
    </row>
    <row r="9" spans="1:21" ht="51.75" thickBot="1" x14ac:dyDescent="0.25">
      <c r="A9" s="12" t="s">
        <v>135</v>
      </c>
      <c r="B9" s="10" t="s">
        <v>17</v>
      </c>
      <c r="C9" s="10" t="s">
        <v>75</v>
      </c>
      <c r="D9" s="5" t="s">
        <v>134</v>
      </c>
      <c r="E9" s="6">
        <f>(3512586/1.078)/1000000</f>
        <v>3.2584285714285715</v>
      </c>
      <c r="F9" s="7">
        <f>(20438745/1.154)/1000000</f>
        <v>17.711217504332758</v>
      </c>
      <c r="G9" s="7">
        <f>SUM(F9+E9)/2</f>
        <v>10.484823037880664</v>
      </c>
      <c r="H9" s="11" t="s">
        <v>136</v>
      </c>
      <c r="J9" s="13"/>
      <c r="L9" s="37"/>
      <c r="U9" s="39"/>
    </row>
    <row r="10" spans="1:21" ht="39" thickBot="1" x14ac:dyDescent="0.25">
      <c r="A10" s="3" t="s">
        <v>60</v>
      </c>
      <c r="B10" s="10" t="s">
        <v>17</v>
      </c>
      <c r="C10" s="10" t="s">
        <v>75</v>
      </c>
      <c r="D10" s="5"/>
      <c r="E10" s="6">
        <f>1.568/1.078</f>
        <v>1.4545454545454546</v>
      </c>
      <c r="F10" s="7">
        <v>1.0779896013864818</v>
      </c>
      <c r="G10" s="7">
        <f t="shared" si="0"/>
        <v>1.2662675279659683</v>
      </c>
      <c r="H10" s="8" t="s">
        <v>20</v>
      </c>
      <c r="I10" s="20" t="s">
        <v>61</v>
      </c>
      <c r="U10" s="39"/>
    </row>
    <row r="11" spans="1:21" ht="51.75" thickBot="1" x14ac:dyDescent="0.25">
      <c r="A11" s="3" t="s">
        <v>79</v>
      </c>
      <c r="B11" s="10" t="s">
        <v>17</v>
      </c>
      <c r="C11" s="10" t="s">
        <v>75</v>
      </c>
      <c r="D11" s="5" t="s">
        <v>78</v>
      </c>
      <c r="E11" s="6">
        <f>0.23191094619666/1.078</f>
        <v>0.21513074786332095</v>
      </c>
      <c r="F11" s="7">
        <v>0.23191094619666044</v>
      </c>
      <c r="G11" s="7">
        <f t="shared" si="0"/>
        <v>0.2235208470299907</v>
      </c>
      <c r="H11" s="8" t="s">
        <v>20</v>
      </c>
      <c r="I11" s="41" t="s">
        <v>77</v>
      </c>
      <c r="U11" s="39"/>
    </row>
    <row r="12" spans="1:21" ht="39" thickBot="1" x14ac:dyDescent="0.25">
      <c r="A12" s="3" t="s">
        <v>80</v>
      </c>
      <c r="B12" s="10" t="s">
        <v>17</v>
      </c>
      <c r="C12" s="10" t="s">
        <v>75</v>
      </c>
      <c r="D12" s="5" t="s">
        <v>82</v>
      </c>
      <c r="E12" s="6">
        <f>2.9674693877551/1.078</f>
        <v>2.7527545340956396</v>
      </c>
      <c r="F12" s="7">
        <v>2.0328275563258233</v>
      </c>
      <c r="G12" s="7">
        <f t="shared" si="0"/>
        <v>2.3927910452107315</v>
      </c>
      <c r="H12" s="8" t="s">
        <v>20</v>
      </c>
      <c r="I12" s="41" t="s">
        <v>81</v>
      </c>
      <c r="U12" s="39"/>
    </row>
    <row r="13" spans="1:21" ht="39" thickBot="1" x14ac:dyDescent="0.25">
      <c r="A13" s="3" t="s">
        <v>84</v>
      </c>
      <c r="B13" s="10" t="s">
        <v>17</v>
      </c>
      <c r="C13" s="10" t="s">
        <v>85</v>
      </c>
      <c r="D13" s="5" t="s">
        <v>82</v>
      </c>
      <c r="E13" s="6">
        <f>3.88311688311688</f>
        <v>3.8831168831168799</v>
      </c>
      <c r="F13" s="7">
        <v>0</v>
      </c>
      <c r="G13" s="6">
        <f>E13</f>
        <v>3.8831168831168799</v>
      </c>
      <c r="H13" s="14" t="s">
        <v>83</v>
      </c>
      <c r="I13" s="41" t="s">
        <v>87</v>
      </c>
    </row>
    <row r="14" spans="1:21" ht="51.75" thickBot="1" x14ac:dyDescent="0.25">
      <c r="A14" s="15" t="s">
        <v>88</v>
      </c>
      <c r="B14" s="4" t="s">
        <v>17</v>
      </c>
      <c r="C14" s="4" t="s">
        <v>90</v>
      </c>
      <c r="D14" s="5" t="s">
        <v>89</v>
      </c>
      <c r="E14" s="6">
        <v>2.9738042671614102</v>
      </c>
      <c r="F14" s="7">
        <v>4.5110580589254772</v>
      </c>
      <c r="G14" s="7">
        <f>(F14+E14)/2</f>
        <v>3.7424311630434435</v>
      </c>
      <c r="H14" s="8" t="s">
        <v>20</v>
      </c>
      <c r="I14" s="41" t="s">
        <v>86</v>
      </c>
    </row>
    <row r="15" spans="1:21" ht="77.25" thickBot="1" x14ac:dyDescent="0.25">
      <c r="A15" s="3" t="s">
        <v>91</v>
      </c>
      <c r="B15" s="10" t="s">
        <v>17</v>
      </c>
      <c r="C15" s="10" t="s">
        <v>94</v>
      </c>
      <c r="D15" s="5" t="s">
        <v>95</v>
      </c>
      <c r="E15" s="6">
        <v>13.914656771799628</v>
      </c>
      <c r="F15" s="7">
        <v>0</v>
      </c>
      <c r="G15" s="7">
        <f t="shared" ref="G15:G16" si="1">(F15+E15)/2</f>
        <v>6.9573283858998138</v>
      </c>
      <c r="H15" s="8" t="s">
        <v>20</v>
      </c>
      <c r="I15" s="41" t="s">
        <v>92</v>
      </c>
    </row>
    <row r="16" spans="1:21" ht="39" thickBot="1" x14ac:dyDescent="0.25">
      <c r="A16" s="15" t="s">
        <v>93</v>
      </c>
      <c r="B16" s="4" t="s">
        <v>17</v>
      </c>
      <c r="C16" s="10" t="s">
        <v>94</v>
      </c>
      <c r="D16" s="5" t="s">
        <v>97</v>
      </c>
      <c r="E16" s="6">
        <v>5.4730983302411875</v>
      </c>
      <c r="F16" s="7">
        <v>5.4730983302411875</v>
      </c>
      <c r="G16" s="7">
        <f t="shared" si="1"/>
        <v>5.4730983302411875</v>
      </c>
      <c r="H16" s="8" t="s">
        <v>20</v>
      </c>
      <c r="I16" s="41" t="s">
        <v>96</v>
      </c>
    </row>
    <row r="17" spans="1:12" ht="39" thickBot="1" x14ac:dyDescent="0.25">
      <c r="A17" s="3" t="s">
        <v>100</v>
      </c>
      <c r="B17" s="10" t="s">
        <v>17</v>
      </c>
      <c r="C17" s="10" t="s">
        <v>75</v>
      </c>
      <c r="D17" s="5" t="s">
        <v>97</v>
      </c>
      <c r="E17" s="6" t="s">
        <v>99</v>
      </c>
      <c r="F17" s="7" t="s">
        <v>99</v>
      </c>
      <c r="G17" s="7" t="s">
        <v>99</v>
      </c>
      <c r="H17" s="8" t="s">
        <v>20</v>
      </c>
      <c r="I17" s="41" t="s">
        <v>98</v>
      </c>
    </row>
    <row r="18" spans="1:12" ht="51.75" thickBot="1" x14ac:dyDescent="0.25">
      <c r="A18" s="3" t="s">
        <v>101</v>
      </c>
      <c r="B18" s="10" t="s">
        <v>37</v>
      </c>
      <c r="C18" s="10" t="s">
        <v>85</v>
      </c>
      <c r="D18" s="5"/>
      <c r="E18" s="6">
        <v>1.0893107606679033</v>
      </c>
      <c r="F18" s="7">
        <v>1.0893107606679033</v>
      </c>
      <c r="G18" s="7">
        <f>(F18+E18)/2</f>
        <v>1.0893107606679033</v>
      </c>
      <c r="H18" s="8" t="s">
        <v>20</v>
      </c>
      <c r="I18" s="41" t="s">
        <v>102</v>
      </c>
    </row>
    <row r="19" spans="1:12" ht="77.25" thickBot="1" x14ac:dyDescent="0.25">
      <c r="A19" s="3" t="s">
        <v>104</v>
      </c>
      <c r="B19" s="10" t="s">
        <v>37</v>
      </c>
      <c r="C19" s="10"/>
      <c r="D19" s="16"/>
      <c r="E19" s="6">
        <v>0</v>
      </c>
      <c r="F19" s="7">
        <v>0</v>
      </c>
      <c r="G19" s="7">
        <v>0</v>
      </c>
      <c r="H19" s="8" t="s">
        <v>120</v>
      </c>
      <c r="I19" s="41" t="s">
        <v>103</v>
      </c>
    </row>
    <row r="20" spans="1:12" ht="39" thickBot="1" x14ac:dyDescent="0.25">
      <c r="A20" s="3" t="s">
        <v>105</v>
      </c>
      <c r="B20" s="10" t="s">
        <v>37</v>
      </c>
      <c r="C20" s="10"/>
      <c r="D20" s="16"/>
      <c r="E20" s="6">
        <v>0</v>
      </c>
      <c r="F20" s="7">
        <v>0</v>
      </c>
      <c r="G20" s="7">
        <v>0</v>
      </c>
      <c r="H20" s="8" t="s">
        <v>121</v>
      </c>
      <c r="I20" s="41" t="s">
        <v>106</v>
      </c>
    </row>
    <row r="21" spans="1:12" ht="26.25" thickBot="1" x14ac:dyDescent="0.25">
      <c r="A21" s="3" t="s">
        <v>107</v>
      </c>
      <c r="B21" s="10" t="s">
        <v>37</v>
      </c>
      <c r="C21" s="17"/>
      <c r="D21" s="16"/>
      <c r="E21" s="6">
        <v>0</v>
      </c>
      <c r="F21" s="7">
        <v>4.177071923743501</v>
      </c>
      <c r="G21" s="7">
        <f>(F21+E21)/2/1000000</f>
        <v>2.0885359618717505E-6</v>
      </c>
      <c r="H21" s="8" t="s">
        <v>20</v>
      </c>
      <c r="I21" s="41"/>
    </row>
    <row r="22" spans="1:12" ht="26.25" thickBot="1" x14ac:dyDescent="0.25">
      <c r="A22" s="3" t="s">
        <v>109</v>
      </c>
      <c r="B22" s="10" t="s">
        <v>37</v>
      </c>
      <c r="C22" s="10" t="s">
        <v>110</v>
      </c>
      <c r="D22" s="16" t="s">
        <v>111</v>
      </c>
      <c r="E22" s="6">
        <v>954</v>
      </c>
      <c r="F22" s="7">
        <v>991</v>
      </c>
      <c r="G22" s="7">
        <f>SUM(F22+E22)/2</f>
        <v>972.5</v>
      </c>
      <c r="H22" s="18" t="s">
        <v>126</v>
      </c>
      <c r="I22" s="41"/>
    </row>
    <row r="23" spans="1:12" ht="26.25" thickBot="1" x14ac:dyDescent="0.25">
      <c r="A23" s="3" t="s">
        <v>112</v>
      </c>
      <c r="B23" s="10" t="s">
        <v>37</v>
      </c>
      <c r="C23" s="10" t="s">
        <v>90</v>
      </c>
      <c r="D23" s="16" t="s">
        <v>111</v>
      </c>
      <c r="E23" s="6">
        <v>1611</v>
      </c>
      <c r="F23" s="7">
        <v>1756</v>
      </c>
      <c r="G23" s="7">
        <f t="shared" ref="G23:G27" si="2">(F23+E23)/2</f>
        <v>1683.5</v>
      </c>
      <c r="H23" s="18" t="s">
        <v>123</v>
      </c>
      <c r="I23" s="41"/>
    </row>
    <row r="24" spans="1:12" ht="26.25" thickBot="1" x14ac:dyDescent="0.25">
      <c r="A24" s="3" t="s">
        <v>113</v>
      </c>
      <c r="B24" s="10" t="s">
        <v>37</v>
      </c>
      <c r="C24" s="10" t="s">
        <v>110</v>
      </c>
      <c r="D24" s="16" t="s">
        <v>111</v>
      </c>
      <c r="E24" s="6">
        <v>500</v>
      </c>
      <c r="F24" s="7">
        <v>514</v>
      </c>
      <c r="G24" s="7">
        <f t="shared" si="2"/>
        <v>507</v>
      </c>
      <c r="H24" s="18" t="s">
        <v>122</v>
      </c>
      <c r="I24" s="41"/>
    </row>
    <row r="25" spans="1:12" ht="51.75" thickBot="1" x14ac:dyDescent="0.25">
      <c r="A25" s="3" t="s">
        <v>114</v>
      </c>
      <c r="B25" s="10" t="s">
        <v>37</v>
      </c>
      <c r="C25" s="10" t="s">
        <v>90</v>
      </c>
      <c r="D25" s="16" t="s">
        <v>115</v>
      </c>
      <c r="E25" s="6">
        <v>104</v>
      </c>
      <c r="F25" s="7">
        <v>104</v>
      </c>
      <c r="G25" s="7">
        <f t="shared" si="2"/>
        <v>104</v>
      </c>
      <c r="H25" s="18" t="s">
        <v>124</v>
      </c>
      <c r="I25" s="41"/>
    </row>
    <row r="26" spans="1:12" ht="26.25" thickBot="1" x14ac:dyDescent="0.25">
      <c r="A26" s="3" t="s">
        <v>116</v>
      </c>
      <c r="B26" s="10" t="s">
        <v>17</v>
      </c>
      <c r="C26" s="10" t="s">
        <v>75</v>
      </c>
      <c r="D26" s="16" t="s">
        <v>117</v>
      </c>
      <c r="E26" s="6">
        <v>826</v>
      </c>
      <c r="F26" s="7">
        <v>840</v>
      </c>
      <c r="G26" s="7">
        <f t="shared" si="2"/>
        <v>833</v>
      </c>
      <c r="H26" s="18" t="s">
        <v>125</v>
      </c>
      <c r="I26" s="41"/>
    </row>
    <row r="27" spans="1:12" ht="26.25" thickBot="1" x14ac:dyDescent="0.25">
      <c r="A27" s="3" t="s">
        <v>118</v>
      </c>
      <c r="B27" s="10" t="s">
        <v>17</v>
      </c>
      <c r="C27" s="10" t="s">
        <v>119</v>
      </c>
      <c r="D27" s="16" t="s">
        <v>117</v>
      </c>
      <c r="E27" s="6">
        <v>94</v>
      </c>
      <c r="F27" s="7">
        <v>112</v>
      </c>
      <c r="G27" s="7">
        <f t="shared" si="2"/>
        <v>103</v>
      </c>
      <c r="H27" s="18" t="s">
        <v>125</v>
      </c>
      <c r="I27" s="41"/>
    </row>
    <row r="28" spans="1:12" ht="39" thickBot="1" x14ac:dyDescent="0.25">
      <c r="A28" s="3" t="s">
        <v>162</v>
      </c>
      <c r="B28" s="10" t="s">
        <v>17</v>
      </c>
      <c r="C28" s="10" t="s">
        <v>119</v>
      </c>
      <c r="D28" s="16" t="s">
        <v>117</v>
      </c>
      <c r="E28" s="6">
        <f>52.9/1.078</f>
        <v>49.072356215213354</v>
      </c>
      <c r="F28" s="6">
        <f>(37.8+21.4)/1.154</f>
        <v>51.299826689774697</v>
      </c>
      <c r="G28" s="7">
        <f>SUM(F28+E28)/2</f>
        <v>50.186091452494026</v>
      </c>
      <c r="H28" s="19" t="s">
        <v>137</v>
      </c>
      <c r="I28" s="41"/>
    </row>
    <row r="29" spans="1:12" ht="64.5" thickBot="1" x14ac:dyDescent="0.25">
      <c r="A29" s="3" t="s">
        <v>163</v>
      </c>
      <c r="B29" s="10" t="s">
        <v>17</v>
      </c>
      <c r="C29" s="10" t="s">
        <v>119</v>
      </c>
      <c r="D29" s="16" t="s">
        <v>117</v>
      </c>
      <c r="E29" s="6">
        <f>(110.1+11.8+74.1+56.6+26.2+25.6+4.3)/1.078</f>
        <v>286.36363636363637</v>
      </c>
      <c r="F29" s="6">
        <f>(55.6+24+41.3+6.7+4.6+13.9)/1.154</f>
        <v>126.60311958405546</v>
      </c>
      <c r="G29" s="7">
        <f>SUM(F29+E29)/2</f>
        <v>206.4833779738459</v>
      </c>
      <c r="H29" s="19" t="s">
        <v>137</v>
      </c>
      <c r="I29" s="41"/>
    </row>
    <row r="30" spans="1:12" ht="26.25" thickBot="1" x14ac:dyDescent="0.25">
      <c r="A30" s="3" t="s">
        <v>139</v>
      </c>
      <c r="B30" s="10" t="s">
        <v>17</v>
      </c>
      <c r="C30" s="10" t="s">
        <v>119</v>
      </c>
      <c r="D30" s="16" t="s">
        <v>117</v>
      </c>
      <c r="E30" s="6">
        <f>191.668/1.078</f>
        <v>177.79962894248607</v>
      </c>
      <c r="F30" s="6">
        <f>105.396/1.154</f>
        <v>91.331022530329292</v>
      </c>
      <c r="G30" s="7">
        <f>SUM(F30+E30)/2</f>
        <v>134.56532573640769</v>
      </c>
      <c r="H30" s="19" t="s">
        <v>138</v>
      </c>
      <c r="I30" s="41"/>
    </row>
    <row r="31" spans="1:12" ht="39" thickBot="1" x14ac:dyDescent="0.25">
      <c r="A31" s="3" t="s">
        <v>140</v>
      </c>
      <c r="B31" s="10" t="s">
        <v>17</v>
      </c>
      <c r="C31" s="10" t="s">
        <v>119</v>
      </c>
      <c r="D31" s="16" t="s">
        <v>117</v>
      </c>
      <c r="E31" s="6">
        <f>(18.965+30.71+40.337)/1.078</f>
        <v>83.499072356215208</v>
      </c>
      <c r="F31" s="6">
        <f>(18.277+5.7+74.3)/1.154</f>
        <v>85.162045060658585</v>
      </c>
      <c r="G31" s="7">
        <f>SUM(F31+E31)/2</f>
        <v>84.330558708436897</v>
      </c>
      <c r="H31" s="19" t="s">
        <v>138</v>
      </c>
      <c r="I31" s="41"/>
      <c r="L31" s="40" t="s">
        <v>141</v>
      </c>
    </row>
    <row r="32" spans="1:12" ht="13.5" thickBot="1" x14ac:dyDescent="0.25">
      <c r="A32" s="106" t="s">
        <v>38</v>
      </c>
      <c r="B32" s="107"/>
      <c r="C32" s="108"/>
      <c r="D32" s="21"/>
      <c r="E32" s="42">
        <f>SUM(E4:E31)</f>
        <v>5308.2263491038511</v>
      </c>
      <c r="F32" s="42">
        <f>SUM(F4:F31)</f>
        <v>4756.4171363282667</v>
      </c>
      <c r="G32" s="22">
        <f>SUM(G4:G31)</f>
        <v>5032.0281995662854</v>
      </c>
      <c r="H32" s="23"/>
    </row>
    <row r="36" spans="7:9" x14ac:dyDescent="0.2">
      <c r="G36" s="24"/>
      <c r="H36" s="25"/>
      <c r="I36" s="34"/>
    </row>
    <row r="37" spans="7:9" x14ac:dyDescent="0.2">
      <c r="G37" s="24"/>
      <c r="H37" s="24"/>
      <c r="I37" s="34"/>
    </row>
    <row r="38" spans="7:9" x14ac:dyDescent="0.2">
      <c r="G38" s="24"/>
      <c r="H38" s="26"/>
      <c r="I38" s="34"/>
    </row>
    <row r="39" spans="7:9" x14ac:dyDescent="0.2">
      <c r="G39" s="24"/>
      <c r="H39" s="26"/>
      <c r="I39" s="34"/>
    </row>
    <row r="40" spans="7:9" x14ac:dyDescent="0.2">
      <c r="G40" s="24"/>
      <c r="H40" s="26"/>
      <c r="I40" s="34"/>
    </row>
    <row r="41" spans="7:9" x14ac:dyDescent="0.2">
      <c r="G41" s="24"/>
      <c r="H41" s="26"/>
      <c r="I41" s="34"/>
    </row>
    <row r="42" spans="7:9" x14ac:dyDescent="0.2">
      <c r="G42" s="24"/>
      <c r="H42" s="26"/>
      <c r="I42" s="34"/>
    </row>
    <row r="43" spans="7:9" x14ac:dyDescent="0.2">
      <c r="G43" s="24"/>
      <c r="H43" s="24"/>
      <c r="I43" s="34"/>
    </row>
    <row r="44" spans="7:9" x14ac:dyDescent="0.2">
      <c r="G44" s="24"/>
      <c r="H44" s="24"/>
      <c r="I44" s="34"/>
    </row>
    <row r="45" spans="7:9" x14ac:dyDescent="0.2">
      <c r="G45" s="24"/>
      <c r="H45" s="24"/>
      <c r="I45" s="34"/>
    </row>
    <row r="46" spans="7:9" x14ac:dyDescent="0.2">
      <c r="G46" s="24"/>
      <c r="H46" s="24"/>
      <c r="I46" s="34"/>
    </row>
    <row r="47" spans="7:9" x14ac:dyDescent="0.2">
      <c r="G47" s="24"/>
      <c r="H47" s="24"/>
      <c r="I47" s="34"/>
    </row>
  </sheetData>
  <mergeCells count="1">
    <mergeCell ref="A32:C32"/>
  </mergeCells>
  <phoneticPr fontId="4" type="noConversion"/>
  <hyperlinks>
    <hyperlink ref="H5" r:id="rId1"/>
    <hyperlink ref="H9" r:id="rId2"/>
    <hyperlink ref="H28" r:id="rId3"/>
    <hyperlink ref="H31" r:id="rId4"/>
    <hyperlink ref="H29" r:id="rId5"/>
    <hyperlink ref="H30" r:id="rId6"/>
  </hyperlinks>
  <pageMargins left="0.75" right="0.75" top="1" bottom="1" header="0.5" footer="0.5"/>
  <extLst>
    <ext xmlns:mx="http://schemas.microsoft.com/office/mac/excel/2008/main" uri="http://schemas.microsoft.com/office/mac/excel/2008/main">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
  <sheetViews>
    <sheetView workbookViewId="0">
      <selection activeCell="B9" sqref="B9"/>
    </sheetView>
  </sheetViews>
  <sheetFormatPr defaultColWidth="11" defaultRowHeight="15.75" x14ac:dyDescent="0.25"/>
  <cols>
    <col min="1" max="1" width="13.625" customWidth="1"/>
    <col min="2" max="2" width="120.625" customWidth="1"/>
    <col min="3" max="3" width="12.625" customWidth="1"/>
    <col min="4" max="4" width="20.375" customWidth="1"/>
    <col min="5" max="5" width="24.625" customWidth="1"/>
    <col min="6" max="6" width="27.5" customWidth="1"/>
  </cols>
  <sheetData>
    <row r="1" spans="1:8" x14ac:dyDescent="0.25">
      <c r="A1" s="109" t="s">
        <v>151</v>
      </c>
      <c r="B1" s="109"/>
      <c r="C1" s="109"/>
      <c r="D1" s="109"/>
      <c r="E1" s="109"/>
      <c r="F1" s="109"/>
      <c r="G1" s="109"/>
      <c r="H1" s="109"/>
    </row>
    <row r="2" spans="1:8" ht="17.25" x14ac:dyDescent="0.3">
      <c r="A2" s="1"/>
    </row>
    <row r="3" spans="1:8" ht="27" x14ac:dyDescent="0.3">
      <c r="A3" s="1"/>
      <c r="B3" s="77" t="s">
        <v>150</v>
      </c>
    </row>
    <row r="4" spans="1:8" ht="17.25" x14ac:dyDescent="0.3">
      <c r="A4" s="1"/>
    </row>
  </sheetData>
  <mergeCells count="1">
    <mergeCell ref="A1:H1"/>
  </mergeCells>
  <phoneticPr fontId="4" type="noConversion"/>
  <pageMargins left="0.75" right="0.75" top="1" bottom="1" header="0.5" footer="0.5"/>
  <extLst>
    <ext xmlns:mx="http://schemas.microsoft.com/office/mac/excel/2008/main" uri="http://schemas.microsoft.com/office/mac/excel/2008/main">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
  <sheetViews>
    <sheetView workbookViewId="0"/>
  </sheetViews>
  <sheetFormatPr defaultColWidth="11" defaultRowHeight="12.75" x14ac:dyDescent="0.2"/>
  <cols>
    <col min="1" max="1" width="34.625" style="27" customWidth="1"/>
    <col min="2" max="2" width="9.125" style="27" customWidth="1"/>
    <col min="3" max="3" width="10.125" style="27" customWidth="1"/>
    <col min="4" max="4" width="9.5" style="27" customWidth="1"/>
    <col min="5" max="6" width="10.375" style="27" customWidth="1"/>
    <col min="7" max="7" width="11" style="27"/>
    <col min="8" max="8" width="10.125" style="27" customWidth="1"/>
    <col min="9" max="16384" width="11" style="27"/>
  </cols>
  <sheetData>
    <row r="1" spans="1:8" x14ac:dyDescent="0.2">
      <c r="A1" s="59" t="s">
        <v>152</v>
      </c>
    </row>
    <row r="2" spans="1:8" ht="13.5" thickBot="1" x14ac:dyDescent="0.25"/>
    <row r="3" spans="1:8" ht="79.349999999999994" customHeight="1" thickBot="1" x14ac:dyDescent="0.25">
      <c r="A3" s="78" t="s">
        <v>39</v>
      </c>
      <c r="B3" s="57" t="s">
        <v>155</v>
      </c>
      <c r="C3" s="57" t="s">
        <v>156</v>
      </c>
      <c r="D3" s="57" t="s">
        <v>157</v>
      </c>
      <c r="E3" s="57" t="s">
        <v>158</v>
      </c>
      <c r="F3" s="58" t="s">
        <v>159</v>
      </c>
      <c r="G3" s="79" t="s">
        <v>160</v>
      </c>
      <c r="H3" s="80" t="s">
        <v>30</v>
      </c>
    </row>
    <row r="4" spans="1:8" x14ac:dyDescent="0.2">
      <c r="A4" s="110" t="s">
        <v>40</v>
      </c>
      <c r="B4" s="111"/>
      <c r="C4" s="111"/>
      <c r="D4" s="111"/>
      <c r="E4" s="111"/>
      <c r="F4" s="111"/>
      <c r="G4" s="111"/>
      <c r="H4" s="112"/>
    </row>
    <row r="5" spans="1:8" x14ac:dyDescent="0.2">
      <c r="A5" s="89" t="s">
        <v>50</v>
      </c>
      <c r="B5" s="49" t="s">
        <v>76</v>
      </c>
      <c r="C5" s="49" t="s">
        <v>76</v>
      </c>
      <c r="D5" s="94">
        <v>134.15322090999999</v>
      </c>
      <c r="E5" s="95">
        <v>0.41218804000000003</v>
      </c>
      <c r="F5" s="50" t="s">
        <v>76</v>
      </c>
      <c r="G5" s="50">
        <v>134.56540894999998</v>
      </c>
      <c r="H5" s="51">
        <v>67.282704474999989</v>
      </c>
    </row>
    <row r="6" spans="1:8" ht="23.1" customHeight="1" x14ac:dyDescent="0.2">
      <c r="A6" s="86" t="s">
        <v>31</v>
      </c>
      <c r="B6" s="83">
        <v>0</v>
      </c>
      <c r="C6" s="83">
        <v>0</v>
      </c>
      <c r="D6" s="83">
        <f>SUM(D5:D5)</f>
        <v>134.15322090999999</v>
      </c>
      <c r="E6" s="96">
        <f>SUM(E5:E5)</f>
        <v>0.41218804000000003</v>
      </c>
      <c r="F6" s="97">
        <f>SUM(F5:F5)</f>
        <v>0</v>
      </c>
      <c r="G6" s="84">
        <f>SUM(B6:F6)</f>
        <v>134.56540894999998</v>
      </c>
      <c r="H6" s="85">
        <f t="shared" ref="H6" si="0">G6/2</f>
        <v>67.282704474999989</v>
      </c>
    </row>
    <row r="7" spans="1:8" x14ac:dyDescent="0.2">
      <c r="A7" s="113" t="s">
        <v>41</v>
      </c>
      <c r="B7" s="114"/>
      <c r="C7" s="114"/>
      <c r="D7" s="114"/>
      <c r="E7" s="114"/>
      <c r="F7" s="114"/>
      <c r="G7" s="114"/>
      <c r="H7" s="115"/>
    </row>
    <row r="8" spans="1:8" x14ac:dyDescent="0.2">
      <c r="A8" s="48" t="s">
        <v>50</v>
      </c>
      <c r="B8" s="90">
        <v>117.94180002</v>
      </c>
      <c r="C8" s="90">
        <v>0</v>
      </c>
      <c r="D8" s="90">
        <v>64.092149070000005</v>
      </c>
      <c r="E8" s="90">
        <v>0</v>
      </c>
      <c r="F8" s="90">
        <v>0</v>
      </c>
      <c r="G8" s="90">
        <v>182.03394909000002</v>
      </c>
      <c r="H8" s="91">
        <v>91.016974545000011</v>
      </c>
    </row>
    <row r="9" spans="1:8" x14ac:dyDescent="0.2">
      <c r="A9" s="48" t="s">
        <v>161</v>
      </c>
      <c r="B9" s="92">
        <v>0.2</v>
      </c>
      <c r="C9" s="92">
        <v>55</v>
      </c>
      <c r="D9" s="92">
        <v>38</v>
      </c>
      <c r="E9" s="92">
        <v>116</v>
      </c>
      <c r="F9" s="81"/>
      <c r="G9" s="92">
        <v>209</v>
      </c>
      <c r="H9" s="93">
        <v>104</v>
      </c>
    </row>
    <row r="10" spans="1:8" x14ac:dyDescent="0.2">
      <c r="A10" s="86" t="s">
        <v>23</v>
      </c>
      <c r="B10" s="52">
        <f>SUM(B8:B9)</f>
        <v>118.14180002000001</v>
      </c>
      <c r="C10" s="52">
        <f t="shared" ref="C10:G10" si="1">SUM(C8:C9)</f>
        <v>55</v>
      </c>
      <c r="D10" s="52">
        <f t="shared" si="1"/>
        <v>102.09214907</v>
      </c>
      <c r="E10" s="52">
        <f t="shared" si="1"/>
        <v>116</v>
      </c>
      <c r="F10" s="52">
        <f t="shared" si="1"/>
        <v>0</v>
      </c>
      <c r="G10" s="52">
        <f t="shared" si="1"/>
        <v>391.03394909000002</v>
      </c>
      <c r="H10" s="53">
        <f>SUM(H8:H9)</f>
        <v>195.01697454500001</v>
      </c>
    </row>
    <row r="11" spans="1:8" x14ac:dyDescent="0.2">
      <c r="A11" s="87"/>
      <c r="B11" s="54"/>
      <c r="C11" s="54"/>
      <c r="D11" s="54"/>
      <c r="E11" s="54"/>
      <c r="F11" s="54"/>
      <c r="G11" s="55"/>
      <c r="H11" s="56"/>
    </row>
    <row r="12" spans="1:8" ht="13.5" thickBot="1" x14ac:dyDescent="0.25">
      <c r="A12" s="88" t="s">
        <v>24</v>
      </c>
      <c r="B12" s="82">
        <f>B10+B6</f>
        <v>118.14180002000001</v>
      </c>
      <c r="C12" s="82">
        <f t="shared" ref="C12:H12" si="2">C10+C6</f>
        <v>55</v>
      </c>
      <c r="D12" s="82">
        <f t="shared" si="2"/>
        <v>236.24536997999999</v>
      </c>
      <c r="E12" s="82">
        <f t="shared" si="2"/>
        <v>116.41218804</v>
      </c>
      <c r="F12" s="82">
        <f t="shared" si="2"/>
        <v>0</v>
      </c>
      <c r="G12" s="82">
        <f t="shared" si="2"/>
        <v>525.59935803999997</v>
      </c>
      <c r="H12" s="82">
        <f t="shared" si="2"/>
        <v>262.29967901999999</v>
      </c>
    </row>
  </sheetData>
  <mergeCells count="2">
    <mergeCell ref="A4:H4"/>
    <mergeCell ref="A7:H7"/>
  </mergeCells>
  <phoneticPr fontId="4" type="noConversion"/>
  <pageMargins left="0.75" right="0.75" top="1" bottom="1" header="0.5" footer="0.5"/>
  <extLst>
    <ext xmlns:mx="http://schemas.microsoft.com/office/mac/excel/2008/main" uri="http://schemas.microsoft.com/office/mac/excel/2008/main">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workbookViewId="0">
      <selection activeCell="A4" sqref="A4"/>
    </sheetView>
  </sheetViews>
  <sheetFormatPr defaultColWidth="11" defaultRowHeight="12.75" x14ac:dyDescent="0.2"/>
  <cols>
    <col min="1" max="1" width="34.375" style="2" customWidth="1"/>
    <col min="2" max="2" width="24.375" style="2" customWidth="1"/>
    <col min="3" max="3" width="11" style="2"/>
    <col min="4" max="4" width="30.875" style="2" customWidth="1"/>
    <col min="5" max="8" width="11" style="2"/>
    <col min="9" max="9" width="66.625" style="2" customWidth="1"/>
    <col min="10" max="16384" width="11" style="2"/>
  </cols>
  <sheetData>
    <row r="1" spans="1:9" x14ac:dyDescent="0.2">
      <c r="A1" s="59" t="s">
        <v>153</v>
      </c>
    </row>
    <row r="3" spans="1:9" s="20" customFormat="1" ht="36" customHeight="1" x14ac:dyDescent="0.2">
      <c r="A3" s="62" t="s">
        <v>48</v>
      </c>
      <c r="B3" s="62" t="s">
        <v>42</v>
      </c>
      <c r="C3" s="62" t="s">
        <v>47</v>
      </c>
      <c r="D3" s="62" t="s">
        <v>43</v>
      </c>
      <c r="E3" s="62" t="s">
        <v>44</v>
      </c>
      <c r="F3" s="62" t="s">
        <v>25</v>
      </c>
      <c r="G3" s="62" t="s">
        <v>45</v>
      </c>
      <c r="H3" s="62" t="s">
        <v>46</v>
      </c>
      <c r="I3" s="20" t="s">
        <v>26</v>
      </c>
    </row>
    <row r="4" spans="1:9" s="20" customFormat="1" ht="25.5" x14ac:dyDescent="0.2">
      <c r="A4" s="63" t="s">
        <v>50</v>
      </c>
      <c r="B4" s="63" t="s">
        <v>51</v>
      </c>
      <c r="C4" s="64" t="s">
        <v>58</v>
      </c>
      <c r="D4" s="64" t="s">
        <v>0</v>
      </c>
      <c r="E4" s="63" t="s">
        <v>7</v>
      </c>
      <c r="F4" s="63" t="s">
        <v>11</v>
      </c>
      <c r="G4" s="65">
        <v>1785400</v>
      </c>
      <c r="H4" s="63">
        <v>2013</v>
      </c>
      <c r="I4" s="74" t="s">
        <v>10</v>
      </c>
    </row>
    <row r="5" spans="1:9" s="20" customFormat="1" ht="25.5" x14ac:dyDescent="0.2">
      <c r="A5" s="63" t="s">
        <v>50</v>
      </c>
      <c r="B5" s="63" t="s">
        <v>52</v>
      </c>
      <c r="C5" s="64" t="s">
        <v>58</v>
      </c>
      <c r="D5" s="64" t="s">
        <v>1</v>
      </c>
      <c r="E5" s="63" t="s">
        <v>7</v>
      </c>
      <c r="F5" s="63" t="s">
        <v>11</v>
      </c>
      <c r="G5" s="65">
        <v>1178364</v>
      </c>
      <c r="H5" s="63">
        <v>2013</v>
      </c>
      <c r="I5" s="74" t="s">
        <v>10</v>
      </c>
    </row>
    <row r="6" spans="1:9" s="9" customFormat="1" ht="25.5" x14ac:dyDescent="0.2">
      <c r="A6" s="63" t="s">
        <v>50</v>
      </c>
      <c r="B6" s="63" t="s">
        <v>53</v>
      </c>
      <c r="C6" s="64" t="s">
        <v>58</v>
      </c>
      <c r="D6" s="63" t="s">
        <v>2</v>
      </c>
      <c r="E6" s="63" t="s">
        <v>7</v>
      </c>
      <c r="F6" s="63" t="s">
        <v>11</v>
      </c>
      <c r="G6" s="65">
        <v>127057991</v>
      </c>
      <c r="H6" s="63">
        <v>2013</v>
      </c>
      <c r="I6" s="74" t="s">
        <v>10</v>
      </c>
    </row>
    <row r="7" spans="1:9" ht="25.5" x14ac:dyDescent="0.2">
      <c r="A7" s="63" t="s">
        <v>50</v>
      </c>
      <c r="B7" s="63" t="s">
        <v>54</v>
      </c>
      <c r="C7" s="64" t="s">
        <v>58</v>
      </c>
      <c r="D7" s="63" t="s">
        <v>3</v>
      </c>
      <c r="E7" s="63" t="s">
        <v>7</v>
      </c>
      <c r="F7" s="63" t="s">
        <v>11</v>
      </c>
      <c r="G7" s="65">
        <v>374934</v>
      </c>
      <c r="H7" s="63">
        <v>2013</v>
      </c>
      <c r="I7" s="74" t="s">
        <v>10</v>
      </c>
    </row>
    <row r="8" spans="1:9" ht="25.5" x14ac:dyDescent="0.2">
      <c r="A8" s="63" t="s">
        <v>50</v>
      </c>
      <c r="B8" s="63" t="s">
        <v>55</v>
      </c>
      <c r="C8" s="64" t="s">
        <v>58</v>
      </c>
      <c r="D8" s="63" t="s">
        <v>4</v>
      </c>
      <c r="E8" s="63" t="s">
        <v>7</v>
      </c>
      <c r="F8" s="63" t="s">
        <v>11</v>
      </c>
      <c r="G8" s="65">
        <v>1124149.2</v>
      </c>
      <c r="H8" s="63">
        <v>2014</v>
      </c>
      <c r="I8" s="74" t="s">
        <v>9</v>
      </c>
    </row>
    <row r="9" spans="1:9" ht="25.5" x14ac:dyDescent="0.2">
      <c r="A9" s="63" t="s">
        <v>50</v>
      </c>
      <c r="B9" s="63" t="s">
        <v>56</v>
      </c>
      <c r="C9" s="64" t="s">
        <v>58</v>
      </c>
      <c r="D9" s="63" t="s">
        <v>5</v>
      </c>
      <c r="E9" s="63" t="s">
        <v>8</v>
      </c>
      <c r="F9" s="63" t="s">
        <v>12</v>
      </c>
      <c r="G9" s="65">
        <v>412188.04000000004</v>
      </c>
      <c r="H9" s="63">
        <v>2014</v>
      </c>
      <c r="I9" s="74" t="s">
        <v>9</v>
      </c>
    </row>
    <row r="10" spans="1:9" ht="25.5" x14ac:dyDescent="0.2">
      <c r="A10" s="63" t="s">
        <v>50</v>
      </c>
      <c r="B10" s="63" t="s">
        <v>57</v>
      </c>
      <c r="C10" s="64" t="s">
        <v>58</v>
      </c>
      <c r="D10" s="63" t="s">
        <v>6</v>
      </c>
      <c r="E10" s="63" t="s">
        <v>7</v>
      </c>
      <c r="F10" s="63" t="s">
        <v>11</v>
      </c>
      <c r="G10" s="65">
        <v>1405186.5</v>
      </c>
      <c r="H10" s="63">
        <v>2014</v>
      </c>
      <c r="I10" s="74" t="s">
        <v>9</v>
      </c>
    </row>
    <row r="11" spans="1:9" ht="25.5" x14ac:dyDescent="0.2">
      <c r="A11" s="63" t="s">
        <v>50</v>
      </c>
      <c r="B11" s="63" t="s">
        <v>57</v>
      </c>
      <c r="C11" s="64" t="s">
        <v>58</v>
      </c>
      <c r="D11" s="63" t="s">
        <v>6</v>
      </c>
      <c r="E11" s="63" t="s">
        <v>7</v>
      </c>
      <c r="F11" s="63" t="s">
        <v>11</v>
      </c>
      <c r="G11" s="65">
        <v>1227196.21</v>
      </c>
      <c r="H11" s="63">
        <v>2014</v>
      </c>
      <c r="I11" s="74" t="s">
        <v>9</v>
      </c>
    </row>
    <row r="12" spans="1:9" x14ac:dyDescent="0.2">
      <c r="A12" s="67"/>
      <c r="B12" s="67"/>
      <c r="C12" s="67"/>
      <c r="D12" s="67"/>
      <c r="E12" s="67"/>
      <c r="F12" s="67"/>
      <c r="G12" s="67"/>
      <c r="H12" s="67"/>
      <c r="I12" s="64"/>
    </row>
    <row r="13" spans="1:9" ht="13.5" thickBot="1" x14ac:dyDescent="0.25">
      <c r="A13" s="68"/>
      <c r="B13" s="68"/>
      <c r="C13" s="68"/>
      <c r="D13" s="68"/>
      <c r="E13" s="68"/>
      <c r="F13" s="68"/>
      <c r="G13" s="68"/>
      <c r="H13" s="68"/>
    </row>
    <row r="14" spans="1:9" s="27" customFormat="1" ht="51" x14ac:dyDescent="0.2">
      <c r="A14" s="44" t="s">
        <v>39</v>
      </c>
      <c r="B14" s="45" t="s">
        <v>49</v>
      </c>
      <c r="C14" s="45" t="s">
        <v>27</v>
      </c>
      <c r="D14" s="45" t="s">
        <v>28</v>
      </c>
      <c r="E14" s="45" t="s">
        <v>13</v>
      </c>
      <c r="F14" s="46" t="s">
        <v>21</v>
      </c>
      <c r="G14" s="45" t="s">
        <v>22</v>
      </c>
      <c r="H14" s="47" t="s">
        <v>30</v>
      </c>
    </row>
    <row r="15" spans="1:9" s="20" customFormat="1" ht="13.5" thickBot="1" x14ac:dyDescent="0.25">
      <c r="A15" s="69" t="s">
        <v>50</v>
      </c>
      <c r="B15" s="70" t="s">
        <v>76</v>
      </c>
      <c r="C15" s="70" t="s">
        <v>76</v>
      </c>
      <c r="D15" s="70">
        <f>(SUM(G4:G8,G10:G11))/1000000</f>
        <v>134.15322090999999</v>
      </c>
      <c r="E15" s="71">
        <f>G9/1000000</f>
        <v>0.41218804000000003</v>
      </c>
      <c r="F15" s="70" t="s">
        <v>76</v>
      </c>
      <c r="G15" s="72">
        <f>SUM(B15:F15)</f>
        <v>134.56540894999998</v>
      </c>
      <c r="H15" s="73">
        <f>G15/2</f>
        <v>67.282704474999989</v>
      </c>
    </row>
  </sheetData>
  <phoneticPr fontId="4" type="noConversion"/>
  <pageMargins left="0.75" right="0.75" top="1" bottom="1" header="0.5" footer="0.5"/>
  <extLst>
    <ext xmlns:mx="http://schemas.microsoft.com/office/mac/excel/2008/main" uri="http://schemas.microsoft.com/office/mac/excel/2008/main">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
  <sheetViews>
    <sheetView workbookViewId="0">
      <selection activeCell="A20" sqref="A20"/>
    </sheetView>
  </sheetViews>
  <sheetFormatPr defaultColWidth="10.875" defaultRowHeight="12.75" x14ac:dyDescent="0.2"/>
  <cols>
    <col min="1" max="1" width="39" style="20" customWidth="1"/>
    <col min="2" max="2" width="28.875" style="20" customWidth="1"/>
    <col min="3" max="3" width="12.125" style="20" customWidth="1"/>
    <col min="4" max="4" width="50.625" style="20" customWidth="1"/>
    <col min="5" max="6" width="12.125" style="20" customWidth="1"/>
    <col min="7" max="7" width="18.5" style="20" customWidth="1"/>
    <col min="8" max="8" width="12.125" style="20" customWidth="1"/>
    <col min="9" max="9" width="19.5" style="20" customWidth="1"/>
    <col min="10" max="16384" width="10.875" style="20"/>
  </cols>
  <sheetData>
    <row r="1" spans="1:9" x14ac:dyDescent="0.2">
      <c r="A1" s="76" t="s">
        <v>154</v>
      </c>
    </row>
    <row r="3" spans="1:9" ht="36" customHeight="1" x14ac:dyDescent="0.2">
      <c r="A3" s="62" t="s">
        <v>48</v>
      </c>
      <c r="B3" s="62" t="s">
        <v>42</v>
      </c>
      <c r="C3" s="62" t="s">
        <v>47</v>
      </c>
      <c r="D3" s="62" t="s">
        <v>43</v>
      </c>
      <c r="E3" s="62" t="s">
        <v>44</v>
      </c>
      <c r="F3" s="62" t="s">
        <v>25</v>
      </c>
      <c r="G3" s="62" t="s">
        <v>45</v>
      </c>
      <c r="H3" s="62" t="s">
        <v>46</v>
      </c>
      <c r="I3" s="20" t="s">
        <v>26</v>
      </c>
    </row>
    <row r="4" spans="1:9" ht="14.25" customHeight="1" x14ac:dyDescent="0.2">
      <c r="A4" s="9" t="s">
        <v>50</v>
      </c>
      <c r="B4" s="9" t="s">
        <v>62</v>
      </c>
      <c r="C4" s="9" t="s">
        <v>68</v>
      </c>
      <c r="D4" s="9" t="s">
        <v>70</v>
      </c>
      <c r="E4" s="9" t="s">
        <v>8</v>
      </c>
      <c r="F4" s="9" t="s">
        <v>11</v>
      </c>
      <c r="G4" s="65">
        <v>44635000</v>
      </c>
      <c r="H4" s="9">
        <v>2013</v>
      </c>
      <c r="I4" s="63" t="s">
        <v>10</v>
      </c>
    </row>
    <row r="5" spans="1:9" ht="14.25" customHeight="1" x14ac:dyDescent="0.2">
      <c r="A5" s="9" t="s">
        <v>50</v>
      </c>
      <c r="B5" s="9" t="s">
        <v>63</v>
      </c>
      <c r="C5" s="9" t="s">
        <v>68</v>
      </c>
      <c r="D5" s="9" t="s">
        <v>71</v>
      </c>
      <c r="E5" s="9" t="s">
        <v>75</v>
      </c>
      <c r="F5" s="9" t="s">
        <v>11</v>
      </c>
      <c r="G5" s="65">
        <v>35261650</v>
      </c>
      <c r="H5" s="9">
        <v>2013</v>
      </c>
      <c r="I5" s="63" t="s">
        <v>10</v>
      </c>
    </row>
    <row r="6" spans="1:9" ht="14.25" customHeight="1" x14ac:dyDescent="0.2">
      <c r="A6" s="9" t="s">
        <v>50</v>
      </c>
      <c r="B6" s="9" t="s">
        <v>64</v>
      </c>
      <c r="C6" s="9" t="s">
        <v>68</v>
      </c>
      <c r="D6" s="9" t="s">
        <v>72</v>
      </c>
      <c r="E6" s="9" t="s">
        <v>75</v>
      </c>
      <c r="F6" s="9" t="s">
        <v>11</v>
      </c>
      <c r="G6" s="65">
        <v>36020445</v>
      </c>
      <c r="H6" s="9">
        <v>2013</v>
      </c>
      <c r="I6" s="63" t="s">
        <v>10</v>
      </c>
    </row>
    <row r="7" spans="1:9" ht="12.75" customHeight="1" x14ac:dyDescent="0.2">
      <c r="A7" s="9" t="s">
        <v>50</v>
      </c>
      <c r="B7" s="9" t="s">
        <v>65</v>
      </c>
      <c r="C7" s="9" t="s">
        <v>68</v>
      </c>
      <c r="D7" s="9" t="s">
        <v>73</v>
      </c>
      <c r="E7" s="9" t="s">
        <v>75</v>
      </c>
      <c r="F7" s="9" t="s">
        <v>11</v>
      </c>
      <c r="G7" s="65">
        <v>26781000</v>
      </c>
      <c r="H7" s="9">
        <v>2013</v>
      </c>
      <c r="I7" s="63" t="s">
        <v>10</v>
      </c>
    </row>
    <row r="8" spans="1:9" s="74" customFormat="1" ht="12.75" customHeight="1" x14ac:dyDescent="0.2">
      <c r="A8" s="63" t="s">
        <v>50</v>
      </c>
      <c r="B8" s="63" t="s">
        <v>66</v>
      </c>
      <c r="C8" s="63" t="s">
        <v>68</v>
      </c>
      <c r="D8" s="63" t="s">
        <v>66</v>
      </c>
      <c r="E8" s="63" t="s">
        <v>75</v>
      </c>
      <c r="F8" s="63" t="s">
        <v>11</v>
      </c>
      <c r="G8" s="65">
        <v>19878705.02</v>
      </c>
      <c r="H8" s="63">
        <v>2014</v>
      </c>
      <c r="I8" s="63" t="s">
        <v>9</v>
      </c>
    </row>
    <row r="9" spans="1:9" s="74" customFormat="1" ht="12.75" customHeight="1" x14ac:dyDescent="0.2">
      <c r="A9" s="63" t="s">
        <v>50</v>
      </c>
      <c r="B9" s="63" t="s">
        <v>67</v>
      </c>
      <c r="C9" s="63" t="s">
        <v>69</v>
      </c>
      <c r="D9" s="63" t="s">
        <v>74</v>
      </c>
      <c r="E9" s="63" t="s">
        <v>7</v>
      </c>
      <c r="F9" s="63" t="s">
        <v>11</v>
      </c>
      <c r="G9" s="65">
        <v>19457149.07</v>
      </c>
      <c r="H9" s="63">
        <v>2014</v>
      </c>
      <c r="I9" s="63" t="s">
        <v>9</v>
      </c>
    </row>
    <row r="10" spans="1:9" s="9" customFormat="1" x14ac:dyDescent="0.2">
      <c r="E10" s="2"/>
      <c r="H10" s="63"/>
      <c r="I10" s="63"/>
    </row>
    <row r="12" spans="1:9" ht="13.5" thickBot="1" x14ac:dyDescent="0.25"/>
    <row r="13" spans="1:9" s="27" customFormat="1" ht="38.25" x14ac:dyDescent="0.2">
      <c r="A13" s="44" t="s">
        <v>39</v>
      </c>
      <c r="B13" s="45" t="s">
        <v>49</v>
      </c>
      <c r="C13" s="45" t="s">
        <v>27</v>
      </c>
      <c r="D13" s="45" t="s">
        <v>28</v>
      </c>
      <c r="E13" s="45" t="s">
        <v>29</v>
      </c>
      <c r="F13" s="46" t="s">
        <v>21</v>
      </c>
      <c r="G13" s="45" t="s">
        <v>22</v>
      </c>
      <c r="H13" s="47" t="s">
        <v>30</v>
      </c>
    </row>
    <row r="14" spans="1:9" x14ac:dyDescent="0.2">
      <c r="A14" s="75" t="s">
        <v>50</v>
      </c>
      <c r="B14" s="66">
        <f>(SUM(G5:G8))/1000000</f>
        <v>117.94180002</v>
      </c>
      <c r="C14" s="66" t="s">
        <v>76</v>
      </c>
      <c r="D14" s="66">
        <f>(G4+G9)/1000000</f>
        <v>64.092149070000005</v>
      </c>
      <c r="E14" s="66" t="s">
        <v>76</v>
      </c>
      <c r="F14" s="66" t="s">
        <v>76</v>
      </c>
      <c r="G14" s="60">
        <f>SUM(B14:F14)</f>
        <v>182.03394909000002</v>
      </c>
      <c r="H14" s="61">
        <f>G14/2</f>
        <v>91.016974545000011</v>
      </c>
    </row>
  </sheetData>
  <phoneticPr fontId="4" type="noConversion"/>
  <pageMargins left="0.75" right="0.75" top="1" bottom="1" header="0.5" footer="0.5"/>
  <extLst>
    <ext xmlns:mx="http://schemas.microsoft.com/office/mac/excel/2008/main" uri="http://schemas.microsoft.com/office/mac/excel/2008/main">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A905DC7642379B4E930CB9F746B2B8C3" ma:contentTypeVersion="46" ma:contentTypeDescription="Create a new document." ma:contentTypeScope="" ma:versionID="466f2529c50cae2225198f0240402871">
  <xsd:schema xmlns:xsd="http://www.w3.org/2001/XMLSchema" xmlns:xs="http://www.w3.org/2001/XMLSchema" xmlns:p="http://schemas.microsoft.com/office/2006/metadata/properties" xmlns:ns2="94cc8053-8d8c-49ea-856f-1648b6275459" targetNamespace="http://schemas.microsoft.com/office/2006/metadata/properties" ma:root="true" ma:fieldsID="3b956c1589ceff16b55347cca0f3782c" ns2:_="">
    <xsd:import namespace="94cc8053-8d8c-49ea-856f-1648b6275459"/>
    <xsd:element name="properties">
      <xsd:complexType>
        <xsd:sequence>
          <xsd:element name="documentManagement">
            <xsd:complexType>
              <xsd:all>
                <xsd:element ref="ns2:Publish_x0020_to_x0020_web_x003f_" minOccurs="0"/>
                <xsd:element ref="ns2:Order0" minOccurs="0"/>
                <xsd:element ref="ns2:Resource_x0020_or_x0020_opinion_x0020_entry" minOccurs="0"/>
                <xsd:element ref="ns2:C_Resource_x0020_or_x0020_opinion_x0020_entry" minOccurs="0"/>
                <xsd:element ref="ns2:Resource_x0020_or_x0020_opinion_x0020_entryC_WebSection" minOccurs="0"/>
                <xsd:element ref="ns2:C_Resource_x0020_or_x0020_opinion_x0020_entryC_WebSection" minOccurs="0"/>
                <xsd:element ref="ns2:External_x0020_download" minOccurs="0"/>
                <xsd:element ref="ns2:Number_x0020_of_x0020_pages" minOccurs="0"/>
                <xsd:element ref="ns2:Resource_x0020_or_x0020_opinion_x0020_entryAuthor_x0028_s_x0029_" minOccurs="0"/>
                <xsd:element ref="ns2:C_Resource_x0020_or_x0020_opinion_x0020_entryAuthor_x0028_s_x0029_" minOccurs="0"/>
                <xsd:element ref="ns2:Resource_x0020_or_x0020_opinion_x0020_entryTitle_x002c__x0020_series_x0020_0" minOccurs="0"/>
                <xsd:element ref="ns2:C_Resource_x0020_or_x0020_opinion_x0020_entryTitle_x002c__x0020_series_x0020_0" minOccurs="0"/>
                <xsd:element ref="ns2:Resource_x0020_or_x0020_opinion_x0020_entryC_Series" minOccurs="0"/>
                <xsd:element ref="ns2:C_Resource_x0020_or_x0020_opinion_x0020_entryC_Ser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4cc8053-8d8c-49ea-856f-1648b6275459" elementFormDefault="qualified">
    <xsd:import namespace="http://schemas.microsoft.com/office/2006/documentManagement/types"/>
    <xsd:import namespace="http://schemas.microsoft.com/office/infopath/2007/PartnerControls"/>
    <xsd:element name="Publish_x0020_to_x0020_web_x003f_" ma:index="8" nillable="true" ma:displayName="Publish to web?" ma:default="1" ma:description="Is this file ready to be published to the web?" ma:internalName="Publish_x0020_to_x0020_web_x003f_">
      <xsd:simpleType>
        <xsd:restriction base="dms:Boolean"/>
      </xsd:simpleType>
    </xsd:element>
    <xsd:element name="Order0" ma:index="9" nillable="true" ma:displayName="Order" ma:default="1" ma:description="Choose where this file should appear on the list of files." ma:format="Dropdown" ma:internalName="Order0">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3"/>
          <xsd:enumeration value="14"/>
          <xsd:enumeration value="15"/>
          <xsd:enumeration value="16"/>
          <xsd:enumeration value="17"/>
          <xsd:enumeration value="18"/>
          <xsd:enumeration value="19"/>
          <xsd:enumeration value="20"/>
        </xsd:restriction>
      </xsd:simpleType>
    </xsd:element>
    <xsd:element name="Resource_x0020_or_x0020_opinion_x0020_entry" ma:index="10" nillable="true" ma:displayName="Resource or opinion entry" ma:description="Link to the resource or opinion key list entry that this is a file from." ma:list="{91DE294A-379C-4914-893F-69E1A2C5CB74}" ma:internalName="Resource_x0020_or_x0020_opinion_x0020_entry" ma:showField="ID" ma:web="2bdcabb1-9838-4b64-a0dc-c62c68f49f10">
      <xsd:simpleType>
        <xsd:restriction base="dms:Unknown"/>
      </xsd:simpleType>
    </xsd:element>
    <xsd:element name="C_Resource_x0020_or_x0020_opinion_x0020_entry" ma:index="11" nillable="true" ma:displayName="C_Resource or opinion entry" ma:internalName="C_Resource_x0020_or_x0020_opinion_x0020_entry" ma:readOnly="true">
      <xsd:simpleType>
        <xsd:restriction base="dms:Text"/>
      </xsd:simpleType>
    </xsd:element>
    <xsd:element name="Resource_x0020_or_x0020_opinion_x0020_entryC_WebSection" ma:index="12" nillable="true" ma:displayName="Resource or opinion entry:C_WebSection" ma:list="{91DE294A-379C-4914-893F-69E1A2C5CB74}" ma:internalName="Resource_x0020_or_x0020_opinion_x0020_entryC_WebSection" ma:readOnly="false" ma:showField="C_WebSection" ma:web="2bdcabb1-9838-4b64-a0dc-c62c68f49f10">
      <xsd:simpleType>
        <xsd:restriction base="dms:Unknown"/>
      </xsd:simpleType>
    </xsd:element>
    <xsd:element name="C_Resource_x0020_or_x0020_opinion_x0020_entryC_WebSection" ma:index="13" nillable="true" ma:displayName="C_Resource or opinion entry:C_WebSection" ma:internalName="C_Resource_x0020_or_x0020_opinion_x0020_entryC_WebSection" ma:readOnly="true">
      <xsd:simpleType>
        <xsd:restriction base="dms:Text"/>
      </xsd:simpleType>
    </xsd:element>
    <xsd:element name="External_x0020_download" ma:index="14" nillable="true" ma:displayName="External download" ma:description="Enter a web address (including 'http://' or 'https://') for this file if it is available online through another site. If used, the ODI website will point to this external version of the file rather than a local download from ODI." ma:internalName="External_x0020_download">
      <xsd:simpleType>
        <xsd:restriction base="dms:Text">
          <xsd:maxLength value="255"/>
        </xsd:restriction>
      </xsd:simpleType>
    </xsd:element>
    <xsd:element name="Number_x0020_of_x0020_pages" ma:index="15" nillable="true" ma:displayName="Number of pages" ma:decimals="0" ma:description="How many pages (for publications) is this resource?" ma:internalName="Number_x0020_of_x0020_pages">
      <xsd:simpleType>
        <xsd:restriction base="dms:Number"/>
      </xsd:simpleType>
    </xsd:element>
    <xsd:element name="Resource_x0020_or_x0020_opinion_x0020_entryAuthor_x0028_s_x0029_" ma:index="16" nillable="true" ma:displayName="Resource or opinion entry:Author(s)" ma:list="{91DE294A-379C-4914-893F-69E1A2C5CB74}" ma:internalName="Resource_x0020_or_x0020_opinion_x0020_entryAuthor_x0028_s_x0029_" ma:readOnly="false" ma:showField="Author_x0028_s_x0029_" ma:web="2bdcabb1-9838-4b64-a0dc-c62c68f49f10">
      <xsd:simpleType>
        <xsd:restriction base="dms:Unknown"/>
      </xsd:simpleType>
    </xsd:element>
    <xsd:element name="C_Resource_x0020_or_x0020_opinion_x0020_entryAuthor_x0028_s_x0029_" ma:index="17" nillable="true" ma:displayName="C_Resource or opinion entry:Author(s)" ma:internalName="C_Resource_x0020_or_x0020_opinion_x0020_entryAuthor_x0028_s_x0029_" ma:readOnly="true">
      <xsd:simpleType>
        <xsd:restriction base="dms:Text"/>
      </xsd:simpleType>
    </xsd:element>
    <xsd:element name="Resource_x0020_or_x0020_opinion_x0020_entryTitle_x002c__x0020_series_x0020_0" ma:index="18" nillable="true" ma:displayName="Resource or opinion entry:Title, series and type" ma:list="{91DE294A-379C-4914-893F-69E1A2C5CB74}" ma:internalName="Resource_x0020_or_x0020_opinion_x0020_entryTitle_x002c__x0020_series_x0020_0" ma:readOnly="false" ma:showField="Title_x002c__x0020_series_x0020_0" ma:web="2bdcabb1-9838-4b64-a0dc-c62c68f49f10">
      <xsd:simpleType>
        <xsd:restriction base="dms:Unknown"/>
      </xsd:simpleType>
    </xsd:element>
    <xsd:element name="C_Resource_x0020_or_x0020_opinion_x0020_entryTitle_x002c__x0020_series_x0020_0" ma:index="19" nillable="true" ma:displayName="C_Resource or opinion entry:Title, series and type" ma:internalName="C_Resource_x0020_or_x0020_opinion_x0020_entryTitle_x002c__x0020_series_x0020_0" ma:readOnly="true">
      <xsd:simpleType>
        <xsd:restriction base="dms:Text"/>
      </xsd:simpleType>
    </xsd:element>
    <xsd:element name="Resource_x0020_or_x0020_opinion_x0020_entryC_Series" ma:index="20" nillable="true" ma:displayName="Resource or opinion entry:C_Series" ma:list="{91DE294A-379C-4914-893F-69E1A2C5CB74}" ma:internalName="Resource_x0020_or_x0020_opinion_x0020_entryC_Series" ma:readOnly="false" ma:showField="C_Series" ma:web="2bdcabb1-9838-4b64-a0dc-c62c68f49f10">
      <xsd:simpleType>
        <xsd:restriction base="dms:Unknown"/>
      </xsd:simpleType>
    </xsd:element>
    <xsd:element name="C_Resource_x0020_or_x0020_opinion_x0020_entryC_Series" ma:index="21" nillable="true" ma:displayName="C_Resource or opinion entry:C_Series" ma:internalName="C_Resource_x0020_or_x0020_opinion_x0020_entryC_Serie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Resource_x0020_or_x0020_opinion_x0020_entryC_Series xmlns="94cc8053-8d8c-49ea-856f-1648b6275459" xsi:nil="true"/>
    <Order0 xmlns="94cc8053-8d8c-49ea-856f-1648b6275459">2</Order0>
    <Resource_x0020_or_x0020_opinion_x0020_entry xmlns="94cc8053-8d8c-49ea-856f-1648b6275459">10071;#</Resource_x0020_or_x0020_opinion_x0020_entry>
    <Publish_x0020_to_x0020_web_x003f_ xmlns="94cc8053-8d8c-49ea-856f-1648b6275459">true</Publish_x0020_to_x0020_web_x003f_>
    <Resource_x0020_or_x0020_opinion_x0020_entryC_WebSection xmlns="94cc8053-8d8c-49ea-856f-1648b6275459">10071;#10071</Resource_x0020_or_x0020_opinion_x0020_entryC_WebSection>
    <External_x0020_download xmlns="94cc8053-8d8c-49ea-856f-1648b6275459" xsi:nil="true"/>
    <Number_x0020_of_x0020_pages xmlns="94cc8053-8d8c-49ea-856f-1648b6275459">5</Number_x0020_of_x0020_pages>
    <Resource_x0020_or_x0020_opinion_x0020_entryAuthor_x0028_s_x0029_ xmlns="94cc8053-8d8c-49ea-856f-1648b6275459">10071;#10071</Resource_x0020_or_x0020_opinion_x0020_entryAuthor_x0028_s_x0029_>
    <Resource_x0020_or_x0020_opinion_x0020_entryTitle_x002c__x0020_series_x0020_0 xmlns="94cc8053-8d8c-49ea-856f-1648b6275459">10071;#10071</Resource_x0020_or_x0020_opinion_x0020_entryTitle_x002c__x0020_series_x0020_0>
    <C_Resource_x0020_or_x0020_opinion_x0020_entry xmlns="94cc8053-8d8c-49ea-856f-1648b6275459">10071</C_Resource_x0020_or_x0020_opinion_x0020_entry>
    <C_Resource_x0020_or_x0020_opinion_x0020_entryC_WebSection xmlns="94cc8053-8d8c-49ea-856f-1648b6275459">Publication</C_Resource_x0020_or_x0020_opinion_x0020_entryC_WebSection>
    <C_Resource_x0020_or_x0020_opinion_x0020_entryTitle_x002c__x0020_series_x0020_0 xmlns="94cc8053-8d8c-49ea-856f-1648b6275459">G20 subsidies to oil gas and coal production: Australia -  - Research reports and studies</C_Resource_x0020_or_x0020_opinion_x0020_entryTitle_x002c__x0020_series_x0020_0>
    <C_Resource_x0020_or_x0020_opinion_x0020_entryAuthor_x0028_s_x0029_ xmlns="94cc8053-8d8c-49ea-856f-1648b6275459">Shakuntala Makhijani, Alex Doukas and Shelagh Whitley</C_Resource_x0020_or_x0020_opinion_x0020_entryAuthor_x0028_s_x0029_>
  </documentManagement>
</p:properties>
</file>

<file path=customXml/itemProps1.xml><?xml version="1.0" encoding="utf-8"?>
<ds:datastoreItem xmlns:ds="http://schemas.openxmlformats.org/officeDocument/2006/customXml" ds:itemID="{7C16238A-E31F-4249-84A6-88E1E769B7A3}"/>
</file>

<file path=customXml/itemProps2.xml><?xml version="1.0" encoding="utf-8"?>
<ds:datastoreItem xmlns:ds="http://schemas.openxmlformats.org/officeDocument/2006/customXml" ds:itemID="{4CA4ABF7-B650-489F-908E-CDAD0FB3302A}"/>
</file>

<file path=customXml/itemProps3.xml><?xml version="1.0" encoding="utf-8"?>
<ds:datastoreItem xmlns:ds="http://schemas.openxmlformats.org/officeDocument/2006/customXml" ds:itemID="{F17B2531-1A26-4901-96AE-EEA2DC1F212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Overview</vt:lpstr>
      <vt:lpstr>National Subsidies</vt:lpstr>
      <vt:lpstr>SOE Investment</vt:lpstr>
      <vt:lpstr>PF_Summary</vt:lpstr>
      <vt:lpstr>PF_Domestic_Full</vt:lpstr>
      <vt:lpstr>PF_International_Full</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Australia Data Sheet</dc:title>
  <dc:creator>Sam Pickard</dc:creator>
  <cp:lastModifiedBy>Caroline Haywood</cp:lastModifiedBy>
  <dcterms:created xsi:type="dcterms:W3CDTF">2015-08-18T14:38:53Z</dcterms:created>
  <dcterms:modified xsi:type="dcterms:W3CDTF">2015-11-11T13:00:18Z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0x010100A905DC7642379B4E930CB9F746B2B8C3</vt:lpwstr>
  </property>
</Properties>
</file>