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Communications\Typefi\CEP\G20 fossil fuels 2015\Country case studies\South Africa\"/>
    </mc:Choice>
  </mc:AlternateContent>
  <bookViews>
    <workbookView xWindow="0" yWindow="0" windowWidth="12075" windowHeight="3330" tabRatio="500"/>
  </bookViews>
  <sheets>
    <sheet name="Overview" sheetId="10" r:id="rId1"/>
    <sheet name="National Subsidies" sheetId="12" r:id="rId2"/>
    <sheet name="SOE Investment" sheetId="13" r:id="rId3"/>
    <sheet name="PF_Summary" sheetId="3" r:id="rId4"/>
    <sheet name="PF_Domestic_Full" sheetId="5" r:id="rId5"/>
    <sheet name="PF_International_Full" sheetId="6" r:id="rId6"/>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H14" i="12" l="1"/>
  <c r="H15" i="12"/>
  <c r="K27" i="6"/>
  <c r="B17" i="6"/>
  <c r="G17" i="6" s="1"/>
  <c r="H17" i="6" s="1"/>
  <c r="C17" i="6"/>
  <c r="D17" i="6"/>
  <c r="E17" i="6"/>
  <c r="F17" i="6"/>
  <c r="B16" i="6"/>
  <c r="G16" i="6" s="1"/>
  <c r="H16" i="6" s="1"/>
  <c r="C16" i="6"/>
  <c r="D16" i="6"/>
  <c r="E16" i="6"/>
  <c r="F16" i="6"/>
  <c r="B15" i="6"/>
  <c r="G15" i="6" s="1"/>
  <c r="H15" i="6" s="1"/>
  <c r="C15" i="6"/>
  <c r="D15" i="6"/>
  <c r="E15" i="6"/>
  <c r="F15" i="6"/>
  <c r="G12" i="3"/>
  <c r="G14" i="3" s="1"/>
  <c r="F12" i="3"/>
  <c r="F14" i="3" s="1"/>
  <c r="E12" i="3"/>
  <c r="E14" i="3" s="1"/>
  <c r="D12" i="3"/>
  <c r="D14" i="3" s="1"/>
  <c r="C12" i="3"/>
  <c r="C14" i="3" s="1"/>
  <c r="B12" i="3"/>
  <c r="B14" i="3" s="1"/>
  <c r="H8" i="13"/>
  <c r="F8" i="13"/>
  <c r="G8" i="13"/>
  <c r="E8" i="13"/>
  <c r="F7" i="13"/>
  <c r="G7" i="13" s="1"/>
  <c r="F6" i="13"/>
  <c r="E6" i="13"/>
  <c r="G6" i="13"/>
  <c r="F5" i="13"/>
  <c r="G5" i="13"/>
  <c r="E5" i="13"/>
  <c r="G9" i="13" l="1"/>
</calcChain>
</file>

<file path=xl/comments1.xml><?xml version="1.0" encoding="utf-8"?>
<comments xmlns="http://schemas.openxmlformats.org/spreadsheetml/2006/main">
  <authors>
    <author>Vibhuti Garg</author>
  </authors>
  <commentList>
    <comment ref="I11" authorId="0" shapeId="0">
      <text>
        <r>
          <rPr>
            <b/>
            <sz val="9"/>
            <color indexed="81"/>
            <rFont val="Calibri"/>
            <family val="2"/>
          </rPr>
          <t>Vibhuti Garg:</t>
        </r>
        <r>
          <rPr>
            <sz val="9"/>
            <color indexed="81"/>
            <rFont val="Calibri"/>
            <family val="2"/>
          </rPr>
          <t xml:space="preserve">
Source Updated</t>
        </r>
      </text>
    </comment>
  </commentList>
</comments>
</file>

<file path=xl/sharedStrings.xml><?xml version="1.0" encoding="utf-8"?>
<sst xmlns="http://schemas.openxmlformats.org/spreadsheetml/2006/main" count="201" uniqueCount="130">
  <si>
    <t>The authors welcome feedback on the full report, on the country study, and on this data sheet to improve the accuracy and transparency of information on G20 government support to fossil fuel production.</t>
  </si>
  <si>
    <t>Contents:</t>
  </si>
  <si>
    <t>National subsidies</t>
  </si>
  <si>
    <t>SOE investment</t>
  </si>
  <si>
    <t>Public finance (summary)</t>
  </si>
  <si>
    <t>Public finance (domestic - full)</t>
  </si>
  <si>
    <t>Public finance (international - full)</t>
  </si>
  <si>
    <r>
      <t>National subsidies (</t>
    </r>
    <r>
      <rPr>
        <b/>
        <sz val="10"/>
        <color indexed="62"/>
        <rFont val="Arial"/>
        <family val="2"/>
      </rPr>
      <t xml:space="preserve">million </t>
    </r>
    <r>
      <rPr>
        <b/>
        <sz val="10"/>
        <color rgb="FF4F81BD"/>
        <rFont val="Arial"/>
        <family val="2"/>
      </rPr>
      <t>USD  - except where otherwise indicated)</t>
    </r>
  </si>
  <si>
    <t>Coal mining</t>
  </si>
  <si>
    <t>Coal fired power</t>
  </si>
  <si>
    <t>Upstream oil and gas</t>
  </si>
  <si>
    <t>Oil and gas pipelines, power plants and refineries</t>
  </si>
  <si>
    <t>Public finance international (full) (USD  - except where otherwise indicated)</t>
  </si>
  <si>
    <t>Institution name (information in USD million)</t>
  </si>
  <si>
    <t>Public finance domestic (full) (USD  - except where otherwise indicated)</t>
  </si>
  <si>
    <t>SOE Investment (USD million  - except where otherwise indicated)</t>
  </si>
  <si>
    <t xml:space="preserve">Total Company Capex </t>
  </si>
  <si>
    <t xml:space="preserve">Total Company Capex, net of non fossil fuel costs </t>
  </si>
  <si>
    <t>Public finance summary (USD million - except where otherwise indicated)</t>
  </si>
  <si>
    <t xml:space="preserve">Total fossil fuel finance 2013 &amp; 2014 </t>
    <phoneticPr fontId="0" type="noConversion"/>
  </si>
  <si>
    <t>TOTAL (in USD m)</t>
    <phoneticPr fontId="18" type="noConversion"/>
  </si>
  <si>
    <t>Gas fired power project</t>
  </si>
  <si>
    <t>Tanzania</t>
  </si>
  <si>
    <t>The division(international financing division) has traditionally been primarily a provider of
senior debt. However, with the assistance of the Financing
Operations’ project preparation unit, in the year we also
provided transaction advisory services for a gas-fired power
project in Tanzania. The investment value of the project is
US$87.2 million, of which the DBSA has approved the total
amount.</t>
  </si>
  <si>
    <t>http://www.dbsa.org/EN/About-Us/Publications/Annual%20Reports/DBSA%20Integrated%20Annual%20Report%202013-14.pdf</t>
  </si>
  <si>
    <t xml:space="preserve">Multiple or unspecified fossil fuels </t>
    <phoneticPr fontId="0" type="noConversion"/>
  </si>
  <si>
    <t>Fiscal Funding for Multiproduct Pipeline Project by Transnet</t>
  </si>
  <si>
    <t>Exploration and extraction</t>
  </si>
  <si>
    <t>OECD; National Treasury (2013), Transnet (2013)</t>
  </si>
  <si>
    <t>Deloitte 2013, EY 2015</t>
  </si>
  <si>
    <t>Deloitte 2013, EY 2015, Rystad 2015</t>
  </si>
  <si>
    <t>Transnet</t>
  </si>
  <si>
    <t>Name of SOE</t>
  </si>
  <si>
    <t>Annualised Average Value</t>
  </si>
  <si>
    <t>bn USD</t>
  </si>
  <si>
    <t>Petro SA</t>
  </si>
  <si>
    <t>Upstream &amp; midstream oil and gas</t>
  </si>
  <si>
    <t>Multiproduct pipeline</t>
  </si>
  <si>
    <t>Distribution</t>
  </si>
  <si>
    <t>Coal lines expansion</t>
  </si>
  <si>
    <t>Coal Transportation</t>
  </si>
  <si>
    <t>NA</t>
  </si>
  <si>
    <t>Electricity Generation</t>
  </si>
  <si>
    <t>TOTAL (bn USD)</t>
  </si>
  <si>
    <t>PetroSA 2014 Annual Report</t>
  </si>
  <si>
    <t>Transnet 2015 Condensed Financial Statements</t>
  </si>
  <si>
    <t>Investec Bank, Eventure Partners and KDM reached financial close on the 40.29MW Kuvaninga Energia gas-fired power plant in Mozambique on 31 December 2013. The developers funded the roughly $99 million project through $74 million in debt financing, provided by Investec and the Industrial Development Corporation (IDC), and around $25 million in equity. The three sponsors developed the project and brought it to financial close, at which point Investec and Eventure Partners sold down their combined 75% equity stake. The equity breakdown following financial close is as follows: KDM (comprising several Mozambican companies and individuals) – 25% Public Investment Corporation – 30.6% Kastel Group (a local subsidiary of US-based Eventure Partners) – 28% Pele Clean Energy – 16.4% The debt has a tenor of 13 years and three months, and splits into two tranches. Investec is providing a $40 million facility with cover from an unnamed export credit agency (ECA). This portion will draw down on 28 February. A smaller direct loan of $34 million, which draws down on 31 January, comes from Investec ($11 million) and IDC ($23 million). Both facilities have semi-annual repayment schedules with 27-month grace periods. The financing has a debt service coverage ratio of 1.34x and a loan life coverage ratio of 1.37x. Group Five is responsible for engineering, construction and maintenance for the plant, which is scheduled to begin operations in the second quarter of 2015. The plant is located in Chokwe, in Gaza Province, next to the natural gas pipeline co-owned by Sasol and the government of Mozambique. The sponsors have a 16-year power purchase and concession agreements with state utility Electricidade de Moçambique, which will supply the plant with gas until 2029, at which point it takes control of the asset. ADC Projects will operate the site over the length of the concession, and GE Jenbacher is equipment supplier</t>
  </si>
  <si>
    <t>https://ijglobal.com/data/transaction/28326/4029mw-kuvaninga-energia-power-plant</t>
  </si>
  <si>
    <t>The $320m financing will be used for the development of the 80MW greenfield peat-fired power plant in the Akanyaru Valley, Rwanda. Hakan Mining has been granted a build, operate and own contract by the government. The existing lenders will participate through junior and/or senior debt facilities and at tenors of 12 or 15 years. The lenders on the senior debt will be Africa Finance Corporation, East Africa Development Bank, Development Bank of Southern Africa, PTA Bank. The junior facility will feature FinnFund, AFC and PTA Bank. The project company will sell power to state utility EWSA under a 30-year power purchase agreement. The payments under the PPA will be split between fixed capacity (85%) and variable energy (15%) components. EWSA’s obligations under the PPA will be fully covered by a sovereign guarantee. Poyry (technical) and Trinity (legal) are advising the AFC on the deal. Along with Themis, the sponsors are being advised by Clifford Chance (international legal), Trust Law Chamber (local legal) and Sweco (technical).</t>
  </si>
  <si>
    <t xml:space="preserve">https://ijglobal.com/data/transaction/29597/80mw-akanyaru-valley-peat-fired-power-plant </t>
  </si>
  <si>
    <t>Industrial Development Corporation</t>
  </si>
  <si>
    <t>40.29MW Kuvaninga Energia power plant</t>
  </si>
  <si>
    <t>Mozambique</t>
  </si>
  <si>
    <t>The financing will be used for the construction of 340MW Kpone gas-fired IPP plant near Tema, Ghana. The financing has a 70:30 debt-to-equity split, with $650m of commercial debt and $250m in sponsor equity. The debt has a door-to-door tenor of 15-years and is split between a $433m development finance tranche and a smaller commercial bank facility. Rand Merchant Bank (RMB) arranged the debt. Along with RMB, fellow South African banks Nedbank and Standard Bank were lenders on the commercial bank facility, which the Export Credit Insurance Corporation of South Africa is covering. The lenders on the DFI tranche were FMO, DEG, OPEC Fund for International Development, Industrial Development Corporation, Emerging Africa Infrastructure Fund and Development Bank of South Africa. The sponsors of the project are Africa Finance Corporation (32%), Cenpower Holdings Limited (21%), Sumitomo Corporation (28%), African Infrastructure Investment Managers (15%) and FMO (4%) and will make an investment of $250m through their own resources. Construction is expected to take 32 months, with the plant expected to become operational in 2017.</t>
  </si>
  <si>
    <t>oil&amp;gas</t>
  </si>
  <si>
    <t>https://ijglobal.com/data/transaction/20733/340mw-kpone-gas-fired-plant-ipp</t>
  </si>
  <si>
    <t>80MW Akanyaru Valley Peat-fired Power Plant</t>
  </si>
  <si>
    <t>Rwanda</t>
  </si>
  <si>
    <t>Maamba coal-fired power plant is located within Siankondobo coalfield in south Zambia and will have a total capacity of 600MW. The plant is being developed in two phases. The first phase involves revamping of the Maamba coal mine and the contruction of a mine–mouth, 300MW Coal Fired Power Plant (CFPP) comprising two-150 MW units, together with water reservoir and water pipeline from Lake Kariba to the water reservoir. The project company is owned by Nava Bharat (65%) and ZCCM Investment Holdings (35%).
The $515 million debt facility is split between direct loans from development finance institutions and a bank facility covered by a guarantee from Chinese export credit agency Sinosure. Development Bank of Southern Africa and the Industrial Development Corporation provided direct loans totalling $150 million. The Sinosure covered facility totalled $365 million, and featured the following banks: ICBC, Bank of China, Standard Chartered and ABSA. All of the debt has a tenor of construction plus 10 years, with work expected to be complete on the project in about one year.
Chinese construction company Sepco is undertaking the engineering, procurement and construction (EPC) contract for the project, which brought the Chinese lenders into the deal.
The African Development Bank was also expected to participate as a lender, but dropped out at a late stage. The sponsors decided to plug the funding gap with a shareholder bridge loan of roughly $65 million. They intend to bring an additional senior lender into the deal post-close to repay the bridge loan.
The plant has a 30-year power purchase agreement for 300MW of capacity with state utility Zesco.</t>
  </si>
  <si>
    <t>coal</t>
  </si>
  <si>
    <t>Downstream</t>
  </si>
  <si>
    <t>https://ijglobal.com/data/transaction/32254/300mw-maamba-coal-fired-power-plant-phase-i</t>
  </si>
  <si>
    <t>340MW Kpone Gas-Fired Plant IPP</t>
  </si>
  <si>
    <t>Ghana</t>
  </si>
  <si>
    <t>South Africa's first IPP tender. AES was originally awarded the projects, but pulled out following disagreements with the department for minerals and energy. The project was then offered to Suez, which came second in the original tender. The IPP project will entail the construction of two oil-fired open-cycle gas turbines operating as peaking plants. A 760MW plant will be constructed in Avon, near Shakaskraal, in KwaZulu-Natal, and the second plant, with a 342MW capacity, will be located in the Coega Industrial Development Zone, in Port Elizabeth, Eastern Cape. Power Purchase Agreements (PPAs) for both were signed in June 2013 with state utility Eskom under 15-year PPAs, awarded by the Department of Energy on a Build, Own, Operate (BOO) basis. In parallel, two Implementation Agreements (IAs) with South Africa’s National Department of Energy were signed for each power plant.</t>
  </si>
  <si>
    <t>oil and gas</t>
  </si>
  <si>
    <t>downstream</t>
  </si>
  <si>
    <t>https://ijglobal.com/data/transaction/18394/335mw-dedisa-and-670mw-avon-ocgt-financing</t>
  </si>
  <si>
    <t>Source</t>
    <phoneticPr fontId="0" type="noConversion"/>
  </si>
  <si>
    <t>300MW Maamba Coal-Fired Power Plant Phase I</t>
  </si>
  <si>
    <t>Zambia</t>
  </si>
  <si>
    <t>Subsidy</t>
  </si>
  <si>
    <t>Subsidy type</t>
  </si>
  <si>
    <t>Targeted energy source</t>
  </si>
  <si>
    <t>2013 estimate</t>
  </si>
  <si>
    <t>2014 estimate</t>
  </si>
  <si>
    <t>Stage:</t>
  </si>
  <si>
    <t>Sector</t>
  </si>
  <si>
    <t>Institution name</t>
  </si>
  <si>
    <t>International</t>
  </si>
  <si>
    <t>Project</t>
  </si>
  <si>
    <t>Description</t>
  </si>
  <si>
    <t>Fossil Fuel Sector</t>
  </si>
  <si>
    <t>Value</t>
  </si>
  <si>
    <t>Period</t>
  </si>
  <si>
    <t>Recipient Country</t>
  </si>
  <si>
    <t>PF Institution</t>
  </si>
  <si>
    <t>Upstream Coal</t>
  </si>
  <si>
    <t>Source</t>
  </si>
  <si>
    <t>Eskom</t>
  </si>
  <si>
    <t>South Africa</t>
  </si>
  <si>
    <t>na</t>
  </si>
  <si>
    <t>Estimated annual amount</t>
  </si>
  <si>
    <t>Direct Spending (including on infrastructure)</t>
  </si>
  <si>
    <t>Funding for hydraulic fracturing (fracking) research</t>
  </si>
  <si>
    <t>Direct government funding for research</t>
  </si>
  <si>
    <t>Gas</t>
  </si>
  <si>
    <t>Exploration and extraction (including an exploration component)</t>
  </si>
  <si>
    <t xml:space="preserve">National Treasury (2013) Budget 2013: Estimates of National Expenditure: Vote 29 Energy. Pretoria: Government of the Republic of South Africa. (http://www.treasury.gov.za/documents/national%20budget/2013/enebooklets/Vote%2029%20Energy.pdf) </t>
  </si>
  <si>
    <t>To promote exploration and exploitation of natural oil and gas</t>
  </si>
  <si>
    <t>Direct government funding</t>
  </si>
  <si>
    <t>Oil &amp; Gas</t>
  </si>
  <si>
    <t>National Treasury (2014) Budget 2014: Estimates of National Expenditure: Vote 29 Energy. Pretoria: Government of the Republic of South Africa. (http://www.treasury.gov.za/documents/national%20budget/2014/ene/FullENE.pdf)</t>
  </si>
  <si>
    <t>Total Direct Spending Subsidy</t>
  </si>
  <si>
    <t>Tax Expenditure</t>
  </si>
  <si>
    <t>Tax breaks</t>
  </si>
  <si>
    <t>Total Tax Expenditure Subsidy</t>
  </si>
  <si>
    <t xml:space="preserve">Super deduction for exploration </t>
  </si>
  <si>
    <t xml:space="preserve">Super deduction for research and development (R&amp;D) </t>
  </si>
  <si>
    <t xml:space="preserve">Accelerated depreciation/ expensing </t>
  </si>
  <si>
    <t>Oil &amp; Gas, Coal</t>
  </si>
  <si>
    <t>Downstream Coal</t>
  </si>
  <si>
    <t xml:space="preserve">Upstream Oil &amp; Gas </t>
  </si>
  <si>
    <t xml:space="preserve">Downstream Oil &amp; Gas </t>
  </si>
  <si>
    <t xml:space="preserve">Total fossil fuel finance 2013 &amp; 2014 </t>
    <phoneticPr fontId="0" type="noConversion"/>
  </si>
  <si>
    <t>Annual avg. fossil fuel finance</t>
  </si>
  <si>
    <t xml:space="preserve">Domestic </t>
  </si>
  <si>
    <t>Development Bank of Southern Africa</t>
  </si>
  <si>
    <t>Subtotal domestic</t>
  </si>
  <si>
    <t xml:space="preserve">Industrial Development Corporation </t>
  </si>
  <si>
    <t>Export Credit Insurance Corporation</t>
  </si>
  <si>
    <t>Multilateral Development Bank shares</t>
  </si>
  <si>
    <t>Subtotal international</t>
  </si>
  <si>
    <t>Stage</t>
  </si>
  <si>
    <t>Dedisa and 670MW Avon OCGT Financing (335MW)</t>
  </si>
  <si>
    <t>G20 SUBSIDIES FOR OIL, GAS AND COAL PRODUCTION: SOUTH AFRICA</t>
  </si>
  <si>
    <r>
      <t xml:space="preserve">This data sheet is a background paper to the report </t>
    </r>
    <r>
      <rPr>
        <i/>
        <sz val="10"/>
        <rFont val="Arial"/>
        <family val="2"/>
      </rPr>
      <t>Empty promises: G20 subsidies to oil, gas and coal production</t>
    </r>
    <r>
      <rPr>
        <sz val="10"/>
        <rFont val="Arial"/>
        <family val="2"/>
      </rPr>
      <t xml:space="preserve"> by Oil Change International (OCI) and the Overseas Development Institute (ODI). It builds on the research completed for the report </t>
    </r>
    <r>
      <rPr>
        <i/>
        <sz val="10"/>
        <rFont val="Arial"/>
        <family val="2"/>
      </rPr>
      <t>The fossil fuel bailout: G20 subsidies to oil, gas and coal exploration</t>
    </r>
    <r>
      <rPr>
        <sz val="10"/>
        <rFont val="Arial"/>
        <family val="2"/>
      </rPr>
      <t>, published in 2014.</t>
    </r>
  </si>
  <si>
    <r>
      <t xml:space="preserve">For the purpose of this report, production subsidies for fossil fuels include: national subsidies, investment by state-owned enterprises (SOEs), and public finance. The full report provides a detailed discussion of technical and transparency issues in identifying fossil production subsidies, and outlines the methodology used in this desk-based study. </t>
    </r>
    <r>
      <rPr>
        <b/>
        <sz val="10"/>
        <color indexed="8"/>
        <rFont val="Arial"/>
        <family val="2"/>
      </rPr>
      <t>In addition, a brief outline of the methodology used in this report is also in the country summary.</t>
    </r>
  </si>
  <si>
    <t xml:space="preserve">Read the full report: http://odi.org/empty-promises  </t>
  </si>
  <si>
    <t>Read the South Africa country study: http://www.odi.org/publications/10083-g20-subsidies-oil-gas-coal-production-south-africa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</si>
</sst>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sz val="11"/>
      <color theme="1"/>
      <name val="Calibri"/>
      <family val="2"/>
      <scheme val="minor"/>
    </font>
    <font>
      <sz val="9"/>
      <color indexed="81"/>
      <name val="Calibri"/>
      <family val="2"/>
    </font>
    <font>
      <b/>
      <sz val="9"/>
      <color indexed="81"/>
      <name val="Calibri"/>
      <family val="2"/>
    </font>
    <font>
      <u/>
      <sz val="11"/>
      <color theme="10"/>
      <name val="Calibri"/>
      <family val="2"/>
      <scheme val="minor"/>
    </font>
    <font>
      <b/>
      <sz val="10"/>
      <color indexed="8"/>
      <name val="Arial"/>
      <family val="2"/>
    </font>
    <font>
      <sz val="10"/>
      <color indexed="8"/>
      <name val="Arial"/>
      <family val="2"/>
    </font>
    <font>
      <sz val="10"/>
      <color indexed="8"/>
      <name val="Arial"/>
      <family val="2"/>
    </font>
    <font>
      <b/>
      <sz val="10"/>
      <color indexed="8"/>
      <name val="Arial"/>
      <family val="2"/>
    </font>
    <font>
      <b/>
      <i/>
      <sz val="10"/>
      <color indexed="8"/>
      <name val="Arial"/>
      <family val="2"/>
    </font>
    <font>
      <b/>
      <sz val="10"/>
      <color rgb="FF4F81BD"/>
      <name val="Arial"/>
      <family val="2"/>
    </font>
    <font>
      <b/>
      <sz val="10"/>
      <color indexed="62"/>
      <name val="Arial"/>
      <family val="2"/>
    </font>
    <font>
      <b/>
      <sz val="10"/>
      <color indexed="8"/>
      <name val="Arial"/>
      <family val="2"/>
    </font>
    <font>
      <sz val="10"/>
      <color indexed="8"/>
      <name val="Arial"/>
      <family val="2"/>
    </font>
    <font>
      <u/>
      <sz val="10"/>
      <color indexed="12"/>
      <name val="Arial"/>
      <family val="2"/>
    </font>
    <font>
      <sz val="8"/>
      <name val="Verdana"/>
      <family val="2"/>
    </font>
    <font>
      <sz val="10"/>
      <name val="Arial"/>
      <family val="2"/>
    </font>
    <font>
      <i/>
      <sz val="10"/>
      <name val="Arial"/>
      <family val="2"/>
    </font>
  </fonts>
  <fills count="5">
    <fill>
      <patternFill patternType="none"/>
    </fill>
    <fill>
      <patternFill patternType="gray125"/>
    </fill>
    <fill>
      <patternFill patternType="solid">
        <fgColor indexed="22"/>
        <bgColor indexed="64"/>
      </patternFill>
    </fill>
    <fill>
      <patternFill patternType="solid">
        <fgColor theme="9"/>
        <bgColor indexed="64"/>
      </patternFill>
    </fill>
    <fill>
      <patternFill patternType="solid">
        <fgColor theme="0"/>
        <bgColor indexed="64"/>
      </patternFill>
    </fill>
  </fills>
  <borders count="3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hair">
        <color auto="1"/>
      </top>
      <bottom/>
      <diagonal/>
    </border>
    <border>
      <left style="medium">
        <color auto="1"/>
      </left>
      <right style="medium">
        <color auto="1"/>
      </right>
      <top/>
      <bottom style="hair">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7" fillId="0" borderId="0" applyNumberForma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cellStyleXfs>
  <cellXfs count="117">
    <xf numFmtId="0" fontId="0" fillId="0" borderId="0" xfId="0"/>
    <xf numFmtId="0" fontId="4" fillId="0" borderId="25" xfId="3" applyBorder="1"/>
    <xf numFmtId="0" fontId="4" fillId="0" borderId="24" xfId="3" applyBorder="1"/>
    <xf numFmtId="0" fontId="9" fillId="0" borderId="0" xfId="0" applyFont="1"/>
    <xf numFmtId="0" fontId="9" fillId="0" borderId="0" xfId="0" applyFont="1" applyAlignment="1">
      <alignment horizontal="justify" vertical="center"/>
    </xf>
    <xf numFmtId="0" fontId="8" fillId="0" borderId="0" xfId="0" applyFont="1" applyAlignment="1">
      <alignment horizontal="justify" vertical="center"/>
    </xf>
    <xf numFmtId="0" fontId="10" fillId="0" borderId="0" xfId="0" applyFont="1"/>
    <xf numFmtId="0" fontId="12" fillId="0" borderId="4" xfId="0" applyFont="1" applyFill="1" applyBorder="1" applyAlignment="1">
      <alignment vertical="center" wrapText="1"/>
    </xf>
    <xf numFmtId="0" fontId="10" fillId="0" borderId="3" xfId="0" applyFont="1" applyFill="1" applyBorder="1" applyAlignment="1">
      <alignment vertical="center" wrapText="1"/>
    </xf>
    <xf numFmtId="0" fontId="10" fillId="0" borderId="5" xfId="0" applyFont="1" applyFill="1" applyBorder="1" applyAlignment="1">
      <alignment vertical="center" wrapText="1"/>
    </xf>
    <xf numFmtId="1" fontId="10" fillId="0" borderId="5"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1" fontId="10" fillId="0" borderId="1" xfId="0" applyNumberFormat="1" applyFont="1" applyFill="1" applyBorder="1" applyAlignment="1">
      <alignment horizontal="center" vertical="center" wrapText="1"/>
    </xf>
    <xf numFmtId="1" fontId="11" fillId="0" borderId="6" xfId="0" applyNumberFormat="1" applyFont="1" applyFill="1" applyBorder="1" applyAlignment="1">
      <alignment horizontal="center" vertical="center" wrapText="1"/>
    </xf>
    <xf numFmtId="1" fontId="11" fillId="0" borderId="5" xfId="0" applyNumberFormat="1" applyFont="1" applyFill="1" applyBorder="1" applyAlignment="1">
      <alignment horizontal="center" vertical="center" wrapText="1"/>
    </xf>
    <xf numFmtId="0" fontId="1" fillId="0" borderId="0" xfId="1" applyFill="1" applyBorder="1" applyAlignment="1">
      <alignment horizontal="justify" vertical="center"/>
    </xf>
    <xf numFmtId="0" fontId="13" fillId="0" borderId="0" xfId="0" applyFont="1" applyBorder="1" applyAlignment="1">
      <alignment horizontal="left" vertical="center"/>
    </xf>
    <xf numFmtId="0" fontId="11" fillId="0" borderId="2" xfId="3" applyFont="1" applyBorder="1" applyAlignment="1">
      <alignment horizontal="center"/>
    </xf>
    <xf numFmtId="0" fontId="11" fillId="0" borderId="3" xfId="3" applyFont="1" applyBorder="1" applyAlignment="1">
      <alignment horizontal="center"/>
    </xf>
    <xf numFmtId="0" fontId="10" fillId="0" borderId="2" xfId="3" applyFont="1" applyBorder="1"/>
    <xf numFmtId="2" fontId="10" fillId="0" borderId="2" xfId="3" applyNumberFormat="1" applyFont="1" applyBorder="1"/>
    <xf numFmtId="0" fontId="10" fillId="0" borderId="25" xfId="3" applyFont="1" applyBorder="1"/>
    <xf numFmtId="0" fontId="10" fillId="0" borderId="24" xfId="3" applyFont="1" applyBorder="1"/>
    <xf numFmtId="2" fontId="10" fillId="0" borderId="24" xfId="3" applyNumberFormat="1" applyFont="1" applyBorder="1"/>
    <xf numFmtId="0" fontId="10" fillId="0" borderId="25" xfId="3" applyFont="1" applyBorder="1" applyAlignment="1">
      <alignment horizontal="right"/>
    </xf>
    <xf numFmtId="2" fontId="10" fillId="0" borderId="25" xfId="3" applyNumberFormat="1" applyFont="1" applyBorder="1"/>
    <xf numFmtId="0" fontId="10" fillId="0" borderId="3" xfId="3" applyFont="1" applyBorder="1"/>
    <xf numFmtId="2" fontId="10" fillId="0" borderId="3" xfId="3" applyNumberFormat="1" applyFont="1" applyBorder="1"/>
    <xf numFmtId="0" fontId="10" fillId="0" borderId="6" xfId="3" applyFont="1" applyBorder="1"/>
    <xf numFmtId="0" fontId="10" fillId="0" borderId="7" xfId="3" applyFont="1" applyBorder="1"/>
    <xf numFmtId="0" fontId="11" fillId="0" borderId="0" xfId="0" applyFont="1"/>
    <xf numFmtId="43" fontId="11" fillId="0" borderId="1" xfId="5" applyFont="1" applyBorder="1"/>
    <xf numFmtId="0" fontId="10" fillId="0" borderId="0" xfId="0" applyFont="1" applyBorder="1"/>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right" wrapText="1"/>
    </xf>
    <xf numFmtId="0" fontId="8" fillId="0" borderId="17" xfId="0" applyFont="1" applyBorder="1" applyAlignment="1">
      <alignment horizontal="right" wrapText="1"/>
    </xf>
    <xf numFmtId="1" fontId="9" fillId="0" borderId="15" xfId="0" quotePrefix="1" applyNumberFormat="1" applyFont="1" applyBorder="1" applyAlignment="1">
      <alignment horizontal="right" vertical="center" wrapText="1"/>
    </xf>
    <xf numFmtId="1" fontId="9" fillId="0" borderId="20" xfId="0" quotePrefix="1" applyNumberFormat="1" applyFont="1" applyBorder="1" applyAlignment="1">
      <alignment horizontal="right"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6" fillId="0" borderId="0" xfId="0" applyFont="1" applyAlignment="1">
      <alignment wrapText="1"/>
    </xf>
    <xf numFmtId="0" fontId="10" fillId="0" borderId="0" xfId="0" applyFont="1" applyAlignment="1">
      <alignment wrapText="1" shrinkToFit="1"/>
    </xf>
    <xf numFmtId="0" fontId="10" fillId="0" borderId="0" xfId="0" applyFont="1" applyFill="1" applyBorder="1"/>
    <xf numFmtId="0" fontId="16" fillId="0" borderId="0" xfId="0" applyNumberFormat="1" applyFont="1"/>
    <xf numFmtId="0" fontId="17" fillId="0" borderId="0" xfId="1" applyFont="1" applyFill="1" applyBorder="1"/>
    <xf numFmtId="0" fontId="8" fillId="0" borderId="15" xfId="0" applyFont="1" applyBorder="1" applyAlignment="1">
      <alignment horizontal="center" vertical="center" wrapText="1"/>
    </xf>
    <xf numFmtId="0" fontId="10" fillId="0" borderId="0" xfId="0" applyFont="1" applyAlignment="1">
      <alignment wrapText="1"/>
    </xf>
    <xf numFmtId="0" fontId="10" fillId="0" borderId="0" xfId="0" applyFont="1" applyFill="1" applyBorder="1" applyAlignment="1">
      <alignment horizontal="left" wrapText="1"/>
    </xf>
    <xf numFmtId="0" fontId="10" fillId="0" borderId="0" xfId="0" applyFont="1" applyAlignment="1"/>
    <xf numFmtId="0" fontId="16" fillId="0" borderId="0" xfId="0" applyFont="1"/>
    <xf numFmtId="0" fontId="17" fillId="0" borderId="0" xfId="1" applyFont="1" applyFill="1" applyBorder="1" applyAlignment="1">
      <alignment horizontal="left"/>
    </xf>
    <xf numFmtId="0" fontId="17" fillId="0" borderId="0" xfId="1" applyFont="1"/>
    <xf numFmtId="0" fontId="10" fillId="0" borderId="0" xfId="0" applyFont="1" applyFill="1" applyBorder="1" applyAlignment="1"/>
    <xf numFmtId="0" fontId="8" fillId="0" borderId="12" xfId="0" applyFont="1" applyFill="1" applyBorder="1" applyAlignment="1">
      <alignment horizontal="center" wrapText="1"/>
    </xf>
    <xf numFmtId="0" fontId="9" fillId="0" borderId="15" xfId="0" applyFont="1" applyBorder="1" applyAlignment="1">
      <alignment horizontal="center"/>
    </xf>
    <xf numFmtId="1" fontId="9" fillId="0" borderId="15" xfId="0" quotePrefix="1" applyNumberFormat="1" applyFont="1" applyBorder="1" applyAlignment="1">
      <alignment horizontal="center" vertical="center" wrapText="1"/>
    </xf>
    <xf numFmtId="1" fontId="9" fillId="0" borderId="15" xfId="0" applyNumberFormat="1" applyFont="1" applyBorder="1" applyAlignment="1">
      <alignment horizontal="center" vertical="center" wrapText="1"/>
    </xf>
    <xf numFmtId="1" fontId="9" fillId="0" borderId="15" xfId="0" applyNumberFormat="1" applyFont="1" applyBorder="1" applyAlignment="1">
      <alignment horizontal="center"/>
    </xf>
    <xf numFmtId="3" fontId="9" fillId="0" borderId="15" xfId="0" applyNumberFormat="1" applyFont="1" applyBorder="1" applyAlignment="1">
      <alignment horizont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13" fillId="0" borderId="0" xfId="0" applyFont="1" applyAlignment="1"/>
    <xf numFmtId="0" fontId="13" fillId="0" borderId="0" xfId="0" applyFont="1" applyAlignment="1">
      <alignment vertical="center"/>
    </xf>
    <xf numFmtId="0" fontId="14" fillId="0" borderId="0" xfId="0" applyFont="1" applyAlignment="1">
      <alignment vertical="center"/>
    </xf>
    <xf numFmtId="0" fontId="8" fillId="0" borderId="1" xfId="0" applyFont="1" applyBorder="1" applyAlignment="1">
      <alignment horizontal="center" wrapText="1"/>
    </xf>
    <xf numFmtId="0" fontId="16" fillId="0" borderId="18" xfId="0" applyFont="1" applyBorder="1" applyAlignment="1">
      <alignment horizontal="left" wrapText="1"/>
    </xf>
    <xf numFmtId="0" fontId="11" fillId="2" borderId="19" xfId="0" applyFont="1" applyFill="1" applyBorder="1" applyAlignment="1">
      <alignment horizontal="left" wrapText="1"/>
    </xf>
    <xf numFmtId="0" fontId="11" fillId="2" borderId="32" xfId="0" applyFont="1" applyFill="1" applyBorder="1" applyAlignment="1">
      <alignment horizontal="right" wrapText="1"/>
    </xf>
    <xf numFmtId="0" fontId="11" fillId="2" borderId="33" xfId="0" applyFont="1" applyFill="1" applyBorder="1" applyAlignment="1">
      <alignment horizontal="right" wrapText="1"/>
    </xf>
    <xf numFmtId="0" fontId="9" fillId="0" borderId="18" xfId="0" applyFont="1" applyBorder="1" applyAlignment="1">
      <alignment horizontal="left" wrapText="1"/>
    </xf>
    <xf numFmtId="1" fontId="9" fillId="0" borderId="0" xfId="0" applyNumberFormat="1" applyFont="1"/>
    <xf numFmtId="0" fontId="11" fillId="2" borderId="18" xfId="0" applyFont="1" applyFill="1" applyBorder="1" applyAlignment="1">
      <alignment horizontal="left" wrapText="1"/>
    </xf>
    <xf numFmtId="0" fontId="11" fillId="2" borderId="15" xfId="0" applyFont="1" applyFill="1" applyBorder="1" applyAlignment="1">
      <alignment horizontal="right" wrapText="1"/>
    </xf>
    <xf numFmtId="1" fontId="11" fillId="2" borderId="15" xfId="0" applyNumberFormat="1" applyFont="1" applyFill="1" applyBorder="1" applyAlignment="1">
      <alignment horizontal="right" wrapText="1"/>
    </xf>
    <xf numFmtId="1" fontId="11" fillId="2" borderId="20" xfId="0" applyNumberFormat="1" applyFont="1" applyFill="1" applyBorder="1" applyAlignment="1">
      <alignment horizontal="right" wrapText="1"/>
    </xf>
    <xf numFmtId="0" fontId="16" fillId="0" borderId="0" xfId="0" applyFont="1" applyFill="1"/>
    <xf numFmtId="0" fontId="16" fillId="0" borderId="26" xfId="0" applyFont="1" applyFill="1" applyBorder="1" applyAlignment="1">
      <alignment horizontal="left" wrapText="1"/>
    </xf>
    <xf numFmtId="0" fontId="8" fillId="0" borderId="27" xfId="0" applyFont="1" applyFill="1" applyBorder="1" applyAlignment="1">
      <alignment horizontal="right" wrapText="1"/>
    </xf>
    <xf numFmtId="1" fontId="8" fillId="0" borderId="27" xfId="0" applyNumberFormat="1" applyFont="1" applyFill="1" applyBorder="1" applyAlignment="1">
      <alignment horizontal="right" wrapText="1"/>
    </xf>
    <xf numFmtId="1" fontId="8" fillId="0" borderId="28" xfId="0" applyNumberFormat="1" applyFont="1" applyFill="1" applyBorder="1" applyAlignment="1">
      <alignment horizontal="right" wrapText="1"/>
    </xf>
    <xf numFmtId="0" fontId="9" fillId="0" borderId="0" xfId="0" applyFont="1" applyFill="1"/>
    <xf numFmtId="0" fontId="11" fillId="2" borderId="21" xfId="0" applyFont="1" applyFill="1" applyBorder="1" applyAlignment="1">
      <alignment horizontal="left" wrapText="1"/>
    </xf>
    <xf numFmtId="0" fontId="11" fillId="2" borderId="22" xfId="0" applyFont="1" applyFill="1" applyBorder="1" applyAlignment="1">
      <alignment horizontal="right" wrapText="1"/>
    </xf>
    <xf numFmtId="1" fontId="11" fillId="2" borderId="22" xfId="0" applyNumberFormat="1" applyFont="1" applyFill="1" applyBorder="1" applyAlignment="1">
      <alignment horizontal="right" wrapText="1"/>
    </xf>
    <xf numFmtId="1" fontId="11" fillId="2" borderId="23" xfId="0" applyNumberFormat="1" applyFont="1" applyFill="1" applyBorder="1" applyAlignment="1">
      <alignment horizontal="right"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1" fillId="0" borderId="9" xfId="3" applyFont="1" applyBorder="1" applyAlignment="1">
      <alignment horizontal="center"/>
    </xf>
    <xf numFmtId="0" fontId="11" fillId="0" borderId="10" xfId="3" applyFont="1" applyBorder="1" applyAlignment="1">
      <alignment horizontal="center"/>
    </xf>
    <xf numFmtId="0" fontId="11" fillId="0" borderId="2" xfId="3" applyFont="1" applyBorder="1" applyAlignment="1">
      <alignment horizontal="center"/>
    </xf>
    <xf numFmtId="0" fontId="11" fillId="0" borderId="3" xfId="3" applyFont="1" applyBorder="1" applyAlignment="1">
      <alignment horizontal="center"/>
    </xf>
    <xf numFmtId="0" fontId="10" fillId="0" borderId="8" xfId="3" applyFont="1" applyBorder="1" applyAlignment="1">
      <alignment horizontal="left" vertical="center"/>
    </xf>
    <xf numFmtId="0" fontId="13" fillId="0" borderId="0" xfId="0" applyFont="1" applyBorder="1" applyAlignment="1">
      <alignment horizontal="left" vertical="center" wrapText="1"/>
    </xf>
    <xf numFmtId="0" fontId="11" fillId="0" borderId="29" xfId="0" applyFont="1" applyBorder="1" applyAlignment="1">
      <alignment horizontal="center" wrapText="1"/>
    </xf>
    <xf numFmtId="0" fontId="11" fillId="0" borderId="30" xfId="0" applyFont="1" applyBorder="1" applyAlignment="1">
      <alignment horizontal="center" wrapText="1"/>
    </xf>
    <xf numFmtId="0" fontId="11" fillId="0" borderId="31" xfId="0" applyFont="1" applyBorder="1" applyAlignment="1">
      <alignment horizontal="center" wrapText="1"/>
    </xf>
    <xf numFmtId="0" fontId="8" fillId="0" borderId="34" xfId="0" applyFont="1" applyFill="1" applyBorder="1" applyAlignment="1">
      <alignment horizontal="center" wrapText="1"/>
    </xf>
    <xf numFmtId="0" fontId="8" fillId="0" borderId="35" xfId="0" applyFont="1" applyFill="1" applyBorder="1" applyAlignment="1">
      <alignment horizontal="center" wrapText="1"/>
    </xf>
    <xf numFmtId="0" fontId="8" fillId="0" borderId="16" xfId="0" applyFont="1" applyFill="1" applyBorder="1" applyAlignment="1">
      <alignment horizontal="center" wrapText="1"/>
    </xf>
    <xf numFmtId="0" fontId="8" fillId="3" borderId="0" xfId="0" applyFont="1" applyFill="1" applyAlignment="1">
      <alignment vertical="center"/>
    </xf>
    <xf numFmtId="0" fontId="19" fillId="0" borderId="0" xfId="0" applyFont="1" applyAlignment="1">
      <alignment horizontal="justify" vertical="center" wrapText="1"/>
    </xf>
    <xf numFmtId="0" fontId="1" fillId="0" borderId="0" xfId="6"/>
    <xf numFmtId="0" fontId="1" fillId="4" borderId="0" xfId="6" applyFill="1" applyAlignment="1">
      <alignment horizontal="justify" vertical="center"/>
    </xf>
    <xf numFmtId="0" fontId="1" fillId="0" borderId="0" xfId="6" applyAlignment="1">
      <alignment horizontal="justify" vertical="center"/>
    </xf>
    <xf numFmtId="0" fontId="1" fillId="0" borderId="0" xfId="6" applyFill="1" applyBorder="1" applyAlignment="1">
      <alignment horizontal="justify" vertical="center"/>
    </xf>
  </cellXfs>
  <cellStyles count="7">
    <cellStyle name="Comma" xfId="5" builtinId="3"/>
    <cellStyle name="Followed Hyperlink" xfId="2" builtinId="9" hidden="1"/>
    <cellStyle name="Hyperlink" xfId="1" builtinId="8" hidden="1"/>
    <cellStyle name="Hyperlink" xfId="6" builtinId="8"/>
    <cellStyle name="Hyperlink 2" xfId="4"/>
    <cellStyle name="Normal" xfId="0" builtinId="0"/>
    <cellStyle name="Normal 2" xfId="3"/>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odi.org/publications/10083-g20-subsidies-oil-gas-coal-production-south-africa" TargetMode="External"/><Relationship Id="rId1" Type="http://schemas.openxmlformats.org/officeDocument/2006/relationships/hyperlink" Target="http://www.odi.org/empty-promise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treasury.gov.za/documents/national%20budget/2013/enebooklets/Vote%2029%20Energy.pdf" TargetMode="External"/><Relationship Id="rId1" Type="http://schemas.openxmlformats.org/officeDocument/2006/relationships/hyperlink" Target="http://www.treasury.gov.za/documents/national%20budget/2013/enebooklets/Vote%2029%20Energy.pdf"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hyperlink" Target="https://ijglobal.com/data/transaction/18394/335mw-dedisa-and-670mw-avon-ocgt-financin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ijglobal.com/data/transaction/28326/4029mw-kuvaninga-energia-power-plant" TargetMode="External"/><Relationship Id="rId2" Type="http://schemas.openxmlformats.org/officeDocument/2006/relationships/hyperlink" Target="https://ijglobal.com/data/transaction/32254/300mw-maamba-coal-fired-power-plant-phase-i" TargetMode="External"/><Relationship Id="rId1" Type="http://schemas.openxmlformats.org/officeDocument/2006/relationships/hyperlink" Target="https://ijglobal.com/data/transaction/20733/340mw-kpone-gas-fired-plant-ipp" TargetMode="External"/><Relationship Id="rId6" Type="http://schemas.openxmlformats.org/officeDocument/2006/relationships/hyperlink" Target="http://www.dbsa.org/EN/About-Us/Publications/Annual%20Reports/DBSA%20Integrated%20Annual%20Report%202013-14.pdf" TargetMode="External"/><Relationship Id="rId5" Type="http://schemas.openxmlformats.org/officeDocument/2006/relationships/hyperlink" Target="https://ijglobal.com/data/transaction/20733/340mw-kpone-gas-fired-plant-ipp" TargetMode="External"/><Relationship Id="rId4" Type="http://schemas.openxmlformats.org/officeDocument/2006/relationships/hyperlink" Target="https://ijglobal.com/data/transaction/20733/340mw-kpone-gas-fired-plant-i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tabSelected="1" topLeftCell="B1" workbookViewId="0">
      <selection activeCell="B4" sqref="B4"/>
    </sheetView>
  </sheetViews>
  <sheetFormatPr defaultColWidth="8.75" defaultRowHeight="12.75" x14ac:dyDescent="0.2"/>
  <cols>
    <col min="1" max="1" width="8.75" style="3"/>
    <col min="2" max="2" width="112.75" style="3" customWidth="1"/>
    <col min="3" max="16384" width="8.75" style="3"/>
  </cols>
  <sheetData>
    <row r="1" spans="2:2" ht="36.75" customHeight="1" x14ac:dyDescent="0.2">
      <c r="B1" s="111" t="s">
        <v>125</v>
      </c>
    </row>
    <row r="3" spans="2:2" ht="38.25" x14ac:dyDescent="0.2">
      <c r="B3" s="112" t="s">
        <v>126</v>
      </c>
    </row>
    <row r="4" spans="2:2" ht="51" x14ac:dyDescent="0.2">
      <c r="B4" s="4" t="s">
        <v>127</v>
      </c>
    </row>
    <row r="5" spans="2:2" ht="25.5" x14ac:dyDescent="0.2">
      <c r="B5" s="4" t="s">
        <v>0</v>
      </c>
    </row>
    <row r="6" spans="2:2" x14ac:dyDescent="0.2">
      <c r="B6" s="4"/>
    </row>
    <row r="7" spans="2:2" ht="15.75" x14ac:dyDescent="0.25">
      <c r="B7" s="113" t="s">
        <v>128</v>
      </c>
    </row>
    <row r="8" spans="2:2" ht="15.75" x14ac:dyDescent="0.2">
      <c r="B8" s="114" t="s">
        <v>129</v>
      </c>
    </row>
    <row r="10" spans="2:2" x14ac:dyDescent="0.2">
      <c r="B10" s="5" t="s">
        <v>1</v>
      </c>
    </row>
    <row r="11" spans="2:2" ht="15.75" x14ac:dyDescent="0.2">
      <c r="B11" s="115" t="s">
        <v>2</v>
      </c>
    </row>
    <row r="12" spans="2:2" ht="15.75" x14ac:dyDescent="0.2">
      <c r="B12" s="116" t="s">
        <v>3</v>
      </c>
    </row>
    <row r="13" spans="2:2" ht="15.75" x14ac:dyDescent="0.2">
      <c r="B13" s="17" t="s">
        <v>4</v>
      </c>
    </row>
    <row r="14" spans="2:2" ht="15.75" x14ac:dyDescent="0.2">
      <c r="B14" s="17" t="s">
        <v>5</v>
      </c>
    </row>
    <row r="15" spans="2:2" ht="15.75" x14ac:dyDescent="0.2">
      <c r="B15" s="17" t="s">
        <v>6</v>
      </c>
    </row>
    <row r="16" spans="2:2" ht="15.75" x14ac:dyDescent="0.2">
      <c r="B16" s="17"/>
    </row>
  </sheetData>
  <phoneticPr fontId="18" type="noConversion"/>
  <hyperlinks>
    <hyperlink ref="B11" location="'National Subsidies'!A1" display="National subsidies"/>
    <hyperlink ref="B12" location="'SOE Investment'!A1" display="SOE investment"/>
    <hyperlink ref="B13" location="PF_Summary!A1" display="Public finance (summary)"/>
    <hyperlink ref="B14" location="PF_Domestic_Full!A1" display="Public finance (domestic - full)"/>
    <hyperlink ref="B15" location="PF_International_Full!A1" display="Public finance (international - full)"/>
    <hyperlink ref="B7" r:id="rId1" display="Read the full report: www.odi.org/empty-promises  "/>
    <hyperlink ref="B8" r:id="rId2"/>
  </hyperlink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
  <sheetViews>
    <sheetView topLeftCell="A4" workbookViewId="0">
      <selection activeCell="E11" sqref="E11"/>
    </sheetView>
  </sheetViews>
  <sheetFormatPr defaultColWidth="8.75" defaultRowHeight="12.75" x14ac:dyDescent="0.2"/>
  <cols>
    <col min="1" max="1" width="8.75" style="6"/>
    <col min="2" max="2" width="35.5" style="6" customWidth="1"/>
    <col min="3" max="3" width="14.75" style="6" customWidth="1"/>
    <col min="4" max="4" width="8.75" style="6"/>
    <col min="5" max="5" width="12.75" style="6" customWidth="1"/>
    <col min="6" max="7" width="8.75" style="6"/>
    <col min="8" max="8" width="14.75" style="6" customWidth="1"/>
    <col min="9" max="9" width="47" style="6" customWidth="1"/>
    <col min="10" max="16384" width="8.75" style="6"/>
  </cols>
  <sheetData>
    <row r="1" spans="1:9" x14ac:dyDescent="0.2">
      <c r="A1" s="18" t="s">
        <v>7</v>
      </c>
    </row>
    <row r="2" spans="1:9" ht="13.5" thickBot="1" x14ac:dyDescent="0.25"/>
    <row r="3" spans="1:9" x14ac:dyDescent="0.2">
      <c r="B3" s="92" t="s">
        <v>71</v>
      </c>
      <c r="C3" s="92" t="s">
        <v>72</v>
      </c>
      <c r="D3" s="92" t="s">
        <v>73</v>
      </c>
      <c r="E3" s="92" t="s">
        <v>76</v>
      </c>
      <c r="F3" s="97" t="s">
        <v>74</v>
      </c>
      <c r="G3" s="97" t="s">
        <v>75</v>
      </c>
      <c r="H3" s="92" t="s">
        <v>92</v>
      </c>
      <c r="I3" s="92" t="s">
        <v>88</v>
      </c>
    </row>
    <row r="4" spans="1:9" ht="34.9" customHeight="1" thickBot="1" x14ac:dyDescent="0.25">
      <c r="B4" s="93"/>
      <c r="C4" s="93"/>
      <c r="D4" s="93"/>
      <c r="E4" s="93"/>
      <c r="F4" s="98"/>
      <c r="G4" s="98"/>
      <c r="H4" s="93"/>
      <c r="I4" s="93"/>
    </row>
    <row r="5" spans="1:9" ht="13.5" thickBot="1" x14ac:dyDescent="0.25">
      <c r="B5" s="94" t="s">
        <v>93</v>
      </c>
      <c r="C5" s="95"/>
      <c r="D5" s="95"/>
      <c r="E5" s="95"/>
      <c r="F5" s="95"/>
      <c r="G5" s="95"/>
      <c r="H5" s="96"/>
      <c r="I5" s="7"/>
    </row>
    <row r="6" spans="1:9" ht="64.5" thickBot="1" x14ac:dyDescent="0.25">
      <c r="B6" s="8" t="s">
        <v>94</v>
      </c>
      <c r="C6" s="9" t="s">
        <v>95</v>
      </c>
      <c r="D6" s="9" t="s">
        <v>96</v>
      </c>
      <c r="E6" s="8" t="s">
        <v>97</v>
      </c>
      <c r="F6" s="10">
        <v>7.5202455395740246</v>
      </c>
      <c r="G6" s="10">
        <v>8.1022835763222076</v>
      </c>
      <c r="H6" s="10">
        <v>7.8112645579481157</v>
      </c>
      <c r="I6" s="9" t="s">
        <v>98</v>
      </c>
    </row>
    <row r="7" spans="1:9" ht="64.5" thickBot="1" x14ac:dyDescent="0.25">
      <c r="B7" s="8" t="s">
        <v>99</v>
      </c>
      <c r="C7" s="9" t="s">
        <v>100</v>
      </c>
      <c r="D7" s="9" t="s">
        <v>101</v>
      </c>
      <c r="E7" s="8" t="s">
        <v>97</v>
      </c>
      <c r="F7" s="10">
        <v>12.155026402311446</v>
      </c>
      <c r="G7" s="10">
        <v>12.759170653907496</v>
      </c>
      <c r="H7" s="10">
        <v>12.457098528109471</v>
      </c>
      <c r="I7" s="9" t="s">
        <v>102</v>
      </c>
    </row>
    <row r="8" spans="1:9" ht="26.25" thickBot="1" x14ac:dyDescent="0.25">
      <c r="B8" s="8" t="s">
        <v>26</v>
      </c>
      <c r="C8" s="9" t="s">
        <v>100</v>
      </c>
      <c r="D8" s="9" t="s">
        <v>101</v>
      </c>
      <c r="E8" s="8" t="s">
        <v>27</v>
      </c>
      <c r="F8" s="10">
        <v>0</v>
      </c>
      <c r="G8" s="10">
        <v>0</v>
      </c>
      <c r="H8" s="10">
        <v>0</v>
      </c>
      <c r="I8" s="9" t="s">
        <v>28</v>
      </c>
    </row>
    <row r="9" spans="1:9" ht="13.5" thickBot="1" x14ac:dyDescent="0.25">
      <c r="B9" s="89" t="s">
        <v>103</v>
      </c>
      <c r="C9" s="90"/>
      <c r="D9" s="90"/>
      <c r="E9" s="91"/>
      <c r="F9" s="11"/>
      <c r="G9" s="11"/>
      <c r="H9" s="11">
        <v>20.268363086057587</v>
      </c>
      <c r="I9" s="12"/>
    </row>
    <row r="10" spans="1:9" ht="13.5" thickBot="1" x14ac:dyDescent="0.25">
      <c r="B10" s="94" t="s">
        <v>104</v>
      </c>
      <c r="C10" s="95"/>
      <c r="D10" s="95"/>
      <c r="E10" s="95"/>
      <c r="F10" s="95"/>
      <c r="G10" s="95"/>
      <c r="H10" s="96"/>
      <c r="I10" s="7"/>
    </row>
    <row r="11" spans="1:9" ht="64.5" thickBot="1" x14ac:dyDescent="0.25">
      <c r="B11" s="8" t="s">
        <v>107</v>
      </c>
      <c r="C11" s="9" t="s">
        <v>105</v>
      </c>
      <c r="D11" s="13" t="s">
        <v>101</v>
      </c>
      <c r="E11" s="13" t="s">
        <v>97</v>
      </c>
      <c r="F11" s="14" t="s">
        <v>91</v>
      </c>
      <c r="G11" s="10" t="s">
        <v>91</v>
      </c>
      <c r="H11" s="10" t="s">
        <v>91</v>
      </c>
      <c r="I11" s="9" t="s">
        <v>30</v>
      </c>
    </row>
    <row r="12" spans="1:9" ht="64.5" thickBot="1" x14ac:dyDescent="0.25">
      <c r="B12" s="8" t="s">
        <v>108</v>
      </c>
      <c r="C12" s="9" t="s">
        <v>105</v>
      </c>
      <c r="D12" s="8" t="s">
        <v>101</v>
      </c>
      <c r="E12" s="9" t="s">
        <v>97</v>
      </c>
      <c r="F12" s="10" t="s">
        <v>91</v>
      </c>
      <c r="G12" s="10" t="s">
        <v>91</v>
      </c>
      <c r="H12" s="10" t="s">
        <v>91</v>
      </c>
      <c r="I12" s="9" t="s">
        <v>29</v>
      </c>
    </row>
    <row r="13" spans="1:9" ht="26.25" thickBot="1" x14ac:dyDescent="0.25">
      <c r="B13" s="8" t="s">
        <v>109</v>
      </c>
      <c r="C13" s="9" t="s">
        <v>105</v>
      </c>
      <c r="D13" s="9" t="s">
        <v>110</v>
      </c>
      <c r="E13" s="9"/>
      <c r="F13" s="10" t="s">
        <v>91</v>
      </c>
      <c r="G13" s="10" t="s">
        <v>91</v>
      </c>
      <c r="H13" s="10" t="s">
        <v>91</v>
      </c>
      <c r="I13" s="9" t="s">
        <v>29</v>
      </c>
    </row>
    <row r="14" spans="1:9" ht="13.5" thickBot="1" x14ac:dyDescent="0.25">
      <c r="B14" s="89" t="s">
        <v>106</v>
      </c>
      <c r="C14" s="90"/>
      <c r="D14" s="90"/>
      <c r="E14" s="91"/>
      <c r="F14" s="15"/>
      <c r="G14" s="11"/>
      <c r="H14" s="16">
        <f>SUM(H11:H13)</f>
        <v>0</v>
      </c>
      <c r="I14" s="12"/>
    </row>
    <row r="15" spans="1:9" ht="13.5" thickBot="1" x14ac:dyDescent="0.25">
      <c r="B15" s="89" t="s">
        <v>106</v>
      </c>
      <c r="C15" s="90"/>
      <c r="D15" s="90"/>
      <c r="E15" s="91"/>
      <c r="F15" s="11"/>
      <c r="G15" s="11"/>
      <c r="H15" s="11">
        <f>H9+H14</f>
        <v>20.268363086057587</v>
      </c>
      <c r="I15" s="12"/>
    </row>
  </sheetData>
  <mergeCells count="13">
    <mergeCell ref="B15:E15"/>
    <mergeCell ref="H3:H4"/>
    <mergeCell ref="I3:I4"/>
    <mergeCell ref="B5:H5"/>
    <mergeCell ref="B9:E9"/>
    <mergeCell ref="B10:H10"/>
    <mergeCell ref="B14:E14"/>
    <mergeCell ref="B3:B4"/>
    <mergeCell ref="C3:C4"/>
    <mergeCell ref="D3:D4"/>
    <mergeCell ref="E3:E4"/>
    <mergeCell ref="F3:F4"/>
    <mergeCell ref="G3:G4"/>
  </mergeCells>
  <phoneticPr fontId="18" type="noConversion"/>
  <hyperlinks>
    <hyperlink ref="I6" r:id="rId1"/>
    <hyperlink ref="I7" r:id="rId2"/>
  </hyperlinks>
  <pageMargins left="0.7" right="0.7" top="0.75" bottom="0.75" header="0.3" footer="0.3"/>
  <legacyDrawing r:id="rId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D15" sqref="D15"/>
    </sheetView>
  </sheetViews>
  <sheetFormatPr defaultColWidth="8.75" defaultRowHeight="12.75" x14ac:dyDescent="0.2"/>
  <cols>
    <col min="1" max="1" width="8.75" style="6"/>
    <col min="2" max="2" width="14.25" style="6" customWidth="1"/>
    <col min="3" max="3" width="37.75" style="6" customWidth="1"/>
    <col min="4" max="4" width="26.75" style="6" customWidth="1"/>
    <col min="5" max="5" width="11.25" style="6" customWidth="1"/>
    <col min="6" max="6" width="10.25" style="6" customWidth="1"/>
    <col min="7" max="7" width="21.25" style="6" customWidth="1"/>
    <col min="8" max="16384" width="8.75" style="6"/>
  </cols>
  <sheetData>
    <row r="1" spans="1:8" x14ac:dyDescent="0.2">
      <c r="A1" s="104" t="s">
        <v>15</v>
      </c>
      <c r="B1" s="104"/>
      <c r="C1" s="104"/>
      <c r="D1" s="104"/>
      <c r="E1" s="104"/>
      <c r="F1" s="104"/>
      <c r="G1" s="104"/>
      <c r="H1" s="104"/>
    </row>
    <row r="2" spans="1:8" ht="13.5" thickBot="1" x14ac:dyDescent="0.25"/>
    <row r="3" spans="1:8" x14ac:dyDescent="0.2">
      <c r="B3" s="99" t="s">
        <v>32</v>
      </c>
      <c r="C3" s="101" t="s">
        <v>81</v>
      </c>
      <c r="D3" s="101" t="s">
        <v>77</v>
      </c>
      <c r="E3" s="19">
        <v>2013</v>
      </c>
      <c r="F3" s="19">
        <v>2014</v>
      </c>
      <c r="G3" s="19" t="s">
        <v>33</v>
      </c>
      <c r="H3" s="32" t="s">
        <v>88</v>
      </c>
    </row>
    <row r="4" spans="1:8" ht="13.5" thickBot="1" x14ac:dyDescent="0.25">
      <c r="B4" s="100"/>
      <c r="C4" s="102"/>
      <c r="D4" s="102"/>
      <c r="E4" s="20" t="s">
        <v>34</v>
      </c>
      <c r="F4" s="20" t="s">
        <v>34</v>
      </c>
      <c r="G4" s="20" t="s">
        <v>34</v>
      </c>
    </row>
    <row r="5" spans="1:8" x14ac:dyDescent="0.2">
      <c r="B5" s="21" t="s">
        <v>35</v>
      </c>
      <c r="C5" s="21" t="s">
        <v>16</v>
      </c>
      <c r="D5" s="21" t="s">
        <v>36</v>
      </c>
      <c r="E5" s="22">
        <f>0.348709773836804*1000</f>
        <v>348.709773836804</v>
      </c>
      <c r="F5" s="22">
        <f>0.469608364345206*1000</f>
        <v>469.60836434520598</v>
      </c>
      <c r="G5" s="22">
        <f>AVERAGE(E5:F5)</f>
        <v>409.15906909100499</v>
      </c>
      <c r="H5" s="23" t="s">
        <v>44</v>
      </c>
    </row>
    <row r="6" spans="1:8" ht="15" x14ac:dyDescent="0.25">
      <c r="B6" s="103" t="s">
        <v>31</v>
      </c>
      <c r="C6" s="24" t="s">
        <v>37</v>
      </c>
      <c r="D6" s="24" t="s">
        <v>38</v>
      </c>
      <c r="E6" s="25">
        <f>0.336455116070539*1000</f>
        <v>336.45511607053902</v>
      </c>
      <c r="F6" s="25">
        <f>0.247474747474747*1000</f>
        <v>247.47474747474698</v>
      </c>
      <c r="G6" s="25">
        <f>AVERAGE(E6:F6)</f>
        <v>291.96493177264301</v>
      </c>
      <c r="H6" s="1" t="s">
        <v>45</v>
      </c>
    </row>
    <row r="7" spans="1:8" ht="15" x14ac:dyDescent="0.25">
      <c r="B7" s="103"/>
      <c r="C7" s="23" t="s">
        <v>39</v>
      </c>
      <c r="D7" s="23" t="s">
        <v>40</v>
      </c>
      <c r="E7" s="26" t="s">
        <v>41</v>
      </c>
      <c r="F7" s="23">
        <f>0.04*1000</f>
        <v>40</v>
      </c>
      <c r="G7" s="27">
        <f>AVERAGE(E7:F7)</f>
        <v>40</v>
      </c>
      <c r="H7" s="1" t="s">
        <v>45</v>
      </c>
    </row>
    <row r="8" spans="1:8" ht="15.75" thickBot="1" x14ac:dyDescent="0.3">
      <c r="B8" s="28" t="s">
        <v>89</v>
      </c>
      <c r="C8" s="28" t="s">
        <v>17</v>
      </c>
      <c r="D8" s="28" t="s">
        <v>42</v>
      </c>
      <c r="E8" s="29">
        <f>4.92050142101373*1000</f>
        <v>4920.5014210137306</v>
      </c>
      <c r="F8" s="29">
        <f>4.33650540492646*1000</f>
        <v>4336.50540492646</v>
      </c>
      <c r="G8" s="29">
        <f>AVERAGE(E8:F8)</f>
        <v>4628.5034129700953</v>
      </c>
      <c r="H8" s="2" t="str">
        <f>H7</f>
        <v>Transnet 2015 Condensed Financial Statements</v>
      </c>
    </row>
    <row r="9" spans="1:8" ht="13.5" thickBot="1" x14ac:dyDescent="0.25">
      <c r="B9" s="30" t="s">
        <v>43</v>
      </c>
      <c r="C9" s="31"/>
      <c r="D9" s="31"/>
      <c r="E9" s="31"/>
      <c r="F9" s="31"/>
      <c r="G9" s="33">
        <f>SUM(G5:G8)</f>
        <v>5369.627413833743</v>
      </c>
      <c r="H9" s="34"/>
    </row>
  </sheetData>
  <mergeCells count="5">
    <mergeCell ref="B3:B4"/>
    <mergeCell ref="C3:C4"/>
    <mergeCell ref="D3:D4"/>
    <mergeCell ref="B6:B7"/>
    <mergeCell ref="A1:H1"/>
  </mergeCells>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11" defaultRowHeight="12.75" x14ac:dyDescent="0.2"/>
  <cols>
    <col min="1" max="1" width="21.75" style="53" customWidth="1"/>
    <col min="2" max="2" width="7.5" style="53" customWidth="1"/>
    <col min="3" max="4" width="8.25" style="53" customWidth="1"/>
    <col min="5" max="5" width="9.75" style="53" customWidth="1"/>
    <col min="6" max="7" width="9.25" style="53" customWidth="1"/>
    <col min="8" max="16384" width="11" style="53"/>
  </cols>
  <sheetData>
    <row r="1" spans="1:8" x14ac:dyDescent="0.2">
      <c r="A1" s="67" t="s">
        <v>18</v>
      </c>
    </row>
    <row r="2" spans="1:8" ht="13.5" thickBot="1" x14ac:dyDescent="0.25"/>
    <row r="3" spans="1:8" s="3" customFormat="1" ht="77.25" thickBot="1" x14ac:dyDescent="0.25">
      <c r="A3" s="68" t="s">
        <v>78</v>
      </c>
      <c r="B3" s="63" t="s">
        <v>8</v>
      </c>
      <c r="C3" s="64" t="s">
        <v>9</v>
      </c>
      <c r="D3" s="64" t="s">
        <v>10</v>
      </c>
      <c r="E3" s="64" t="s">
        <v>11</v>
      </c>
      <c r="F3" s="68" t="s">
        <v>19</v>
      </c>
      <c r="G3" s="68" t="s">
        <v>115</v>
      </c>
    </row>
    <row r="4" spans="1:8" x14ac:dyDescent="0.2">
      <c r="A4" s="105" t="s">
        <v>116</v>
      </c>
      <c r="B4" s="106"/>
      <c r="C4" s="106"/>
      <c r="D4" s="106"/>
      <c r="E4" s="106"/>
      <c r="F4" s="106"/>
      <c r="G4" s="107"/>
    </row>
    <row r="5" spans="1:8" s="3" customFormat="1" ht="25.5" x14ac:dyDescent="0.2">
      <c r="A5" s="69" t="s">
        <v>117</v>
      </c>
      <c r="B5" s="38">
        <v>0</v>
      </c>
      <c r="C5" s="38">
        <v>0</v>
      </c>
      <c r="D5" s="38">
        <v>0</v>
      </c>
      <c r="E5" s="38">
        <v>141</v>
      </c>
      <c r="F5" s="38">
        <v>141</v>
      </c>
      <c r="G5" s="39">
        <v>70</v>
      </c>
    </row>
    <row r="6" spans="1:8" x14ac:dyDescent="0.2">
      <c r="A6" s="70" t="s">
        <v>118</v>
      </c>
      <c r="B6" s="71">
        <v>0</v>
      </c>
      <c r="C6" s="71">
        <v>0</v>
      </c>
      <c r="D6" s="71">
        <v>0</v>
      </c>
      <c r="E6" s="71">
        <v>141</v>
      </c>
      <c r="F6" s="71">
        <v>141</v>
      </c>
      <c r="G6" s="72">
        <v>70</v>
      </c>
    </row>
    <row r="7" spans="1:8" s="3" customFormat="1" x14ac:dyDescent="0.2">
      <c r="A7" s="108" t="s">
        <v>79</v>
      </c>
      <c r="B7" s="109"/>
      <c r="C7" s="109"/>
      <c r="D7" s="109"/>
      <c r="E7" s="109"/>
      <c r="F7" s="109"/>
      <c r="G7" s="110"/>
    </row>
    <row r="8" spans="1:8" s="3" customFormat="1" ht="25.5" x14ac:dyDescent="0.2">
      <c r="A8" s="73" t="s">
        <v>117</v>
      </c>
      <c r="B8" s="40">
        <v>0</v>
      </c>
      <c r="C8" s="40">
        <v>107</v>
      </c>
      <c r="D8" s="40">
        <v>0</v>
      </c>
      <c r="E8" s="40">
        <v>161.54</v>
      </c>
      <c r="F8" s="40">
        <v>268.53999999999996</v>
      </c>
      <c r="G8" s="41">
        <v>134.26999999999998</v>
      </c>
    </row>
    <row r="9" spans="1:8" s="3" customFormat="1" ht="25.5" x14ac:dyDescent="0.2">
      <c r="A9" s="73" t="s">
        <v>119</v>
      </c>
      <c r="B9" s="40">
        <v>0</v>
      </c>
      <c r="C9" s="40">
        <v>75</v>
      </c>
      <c r="D9" s="40">
        <v>0</v>
      </c>
      <c r="E9" s="40">
        <v>97.33</v>
      </c>
      <c r="F9" s="40">
        <v>172.32999999999998</v>
      </c>
      <c r="G9" s="41">
        <v>86.164999999999992</v>
      </c>
    </row>
    <row r="10" spans="1:8" s="3" customFormat="1" ht="25.5" x14ac:dyDescent="0.2">
      <c r="A10" s="73" t="s">
        <v>120</v>
      </c>
      <c r="B10" s="40">
        <v>0</v>
      </c>
      <c r="C10" s="40">
        <v>0</v>
      </c>
      <c r="D10" s="40">
        <v>0</v>
      </c>
      <c r="E10" s="40">
        <v>204</v>
      </c>
      <c r="F10" s="40">
        <v>204</v>
      </c>
      <c r="G10" s="41">
        <v>102</v>
      </c>
      <c r="H10" s="74"/>
    </row>
    <row r="11" spans="1:8" s="3" customFormat="1" ht="25.5" x14ac:dyDescent="0.2">
      <c r="A11" s="73" t="s">
        <v>121</v>
      </c>
      <c r="B11" s="40">
        <v>0</v>
      </c>
      <c r="C11" s="40">
        <v>4</v>
      </c>
      <c r="D11" s="40">
        <v>13</v>
      </c>
      <c r="E11" s="40">
        <v>49</v>
      </c>
      <c r="F11" s="40">
        <v>66</v>
      </c>
      <c r="G11" s="41">
        <v>33</v>
      </c>
    </row>
    <row r="12" spans="1:8" s="79" customFormat="1" x14ac:dyDescent="0.2">
      <c r="A12" s="75" t="s">
        <v>122</v>
      </c>
      <c r="B12" s="76">
        <f t="shared" ref="B12:F12" si="0">SUM(B8:B11)</f>
        <v>0</v>
      </c>
      <c r="C12" s="76">
        <f t="shared" si="0"/>
        <v>186</v>
      </c>
      <c r="D12" s="76">
        <f t="shared" si="0"/>
        <v>13</v>
      </c>
      <c r="E12" s="77">
        <f t="shared" si="0"/>
        <v>511.87</v>
      </c>
      <c r="F12" s="77">
        <f t="shared" si="0"/>
        <v>710.86999999999989</v>
      </c>
      <c r="G12" s="78">
        <f>SUM(G8:G11)</f>
        <v>355.43499999999995</v>
      </c>
    </row>
    <row r="13" spans="1:8" s="84" customFormat="1" x14ac:dyDescent="0.2">
      <c r="A13" s="80"/>
      <c r="B13" s="81"/>
      <c r="C13" s="81"/>
      <c r="D13" s="81"/>
      <c r="E13" s="82"/>
      <c r="F13" s="82"/>
      <c r="G13" s="83"/>
    </row>
    <row r="14" spans="1:8" s="79" customFormat="1" ht="13.5" thickBot="1" x14ac:dyDescent="0.25">
      <c r="A14" s="85" t="s">
        <v>20</v>
      </c>
      <c r="B14" s="86">
        <f t="shared" ref="B14:F14" si="1">SUM(B12,B6)</f>
        <v>0</v>
      </c>
      <c r="C14" s="86">
        <f t="shared" si="1"/>
        <v>186</v>
      </c>
      <c r="D14" s="86">
        <f t="shared" si="1"/>
        <v>13</v>
      </c>
      <c r="E14" s="87">
        <f t="shared" si="1"/>
        <v>652.87</v>
      </c>
      <c r="F14" s="87">
        <f t="shared" si="1"/>
        <v>851.86999999999989</v>
      </c>
      <c r="G14" s="88">
        <f>SUM(G12,G6)</f>
        <v>425.43499999999995</v>
      </c>
    </row>
  </sheetData>
  <mergeCells count="2">
    <mergeCell ref="A4:G4"/>
    <mergeCell ref="A7:G7"/>
  </mergeCells>
  <phoneticPr fontId="18" type="noConversion"/>
  <pageMargins left="0.75" right="0.75" top="1" bottom="1" header="0.5" footer="0.5"/>
  <pageSetup paperSize="9" orientation="portrait" horizontalDpi="4294967292" verticalDpi="429496729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defaultColWidth="11" defaultRowHeight="12.75" x14ac:dyDescent="0.2"/>
  <cols>
    <col min="1" max="1" width="26.25" style="6" customWidth="1"/>
    <col min="2" max="16384" width="11" style="6"/>
  </cols>
  <sheetData>
    <row r="1" spans="1:9" x14ac:dyDescent="0.2">
      <c r="A1" s="66" t="s">
        <v>14</v>
      </c>
    </row>
    <row r="3" spans="1:9" ht="25.5" x14ac:dyDescent="0.2">
      <c r="A3" s="42" t="s">
        <v>86</v>
      </c>
      <c r="B3" s="43" t="s">
        <v>80</v>
      </c>
      <c r="C3" s="43" t="s">
        <v>85</v>
      </c>
      <c r="D3" s="43" t="s">
        <v>81</v>
      </c>
      <c r="E3" s="43" t="s">
        <v>82</v>
      </c>
      <c r="F3" s="43" t="s">
        <v>123</v>
      </c>
      <c r="G3" s="43" t="s">
        <v>83</v>
      </c>
      <c r="H3" s="43" t="s">
        <v>84</v>
      </c>
      <c r="I3" s="44" t="s">
        <v>88</v>
      </c>
    </row>
    <row r="4" spans="1:9" ht="25.5" x14ac:dyDescent="0.2">
      <c r="A4" s="45" t="s">
        <v>117</v>
      </c>
      <c r="B4" s="46" t="s">
        <v>124</v>
      </c>
      <c r="C4" s="45" t="s">
        <v>90</v>
      </c>
      <c r="D4" s="46" t="s">
        <v>64</v>
      </c>
      <c r="E4" s="6" t="s">
        <v>65</v>
      </c>
      <c r="F4" s="6" t="s">
        <v>66</v>
      </c>
      <c r="G4" s="47">
        <v>140570000</v>
      </c>
      <c r="H4" s="6">
        <v>2013</v>
      </c>
      <c r="I4" s="48" t="s">
        <v>67</v>
      </c>
    </row>
  </sheetData>
  <phoneticPr fontId="18" type="noConversion"/>
  <hyperlinks>
    <hyperlink ref="I4" r:id="rId1"/>
  </hyperlinks>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A19" sqref="A19"/>
    </sheetView>
  </sheetViews>
  <sheetFormatPr defaultColWidth="11" defaultRowHeight="12.75" x14ac:dyDescent="0.2"/>
  <cols>
    <col min="1" max="1" width="37.25" style="6" customWidth="1"/>
    <col min="2" max="2" width="20.75" style="6" customWidth="1"/>
    <col min="3" max="10" width="11" style="6"/>
    <col min="11" max="11" width="11.25" style="6" bestFit="1" customWidth="1"/>
    <col min="12" max="16384" width="11" style="6"/>
  </cols>
  <sheetData>
    <row r="1" spans="1:9" x14ac:dyDescent="0.2">
      <c r="A1" s="65" t="s">
        <v>12</v>
      </c>
    </row>
    <row r="3" spans="1:9" s="50" customFormat="1" ht="25.5" x14ac:dyDescent="0.2">
      <c r="A3" s="49" t="s">
        <v>86</v>
      </c>
      <c r="B3" s="49" t="s">
        <v>80</v>
      </c>
      <c r="C3" s="49" t="s">
        <v>85</v>
      </c>
      <c r="D3" s="49" t="s">
        <v>81</v>
      </c>
      <c r="E3" s="49" t="s">
        <v>82</v>
      </c>
      <c r="F3" s="49" t="s">
        <v>123</v>
      </c>
      <c r="G3" s="49" t="s">
        <v>83</v>
      </c>
      <c r="H3" s="49" t="s">
        <v>84</v>
      </c>
      <c r="I3" s="50" t="s">
        <v>68</v>
      </c>
    </row>
    <row r="4" spans="1:9" ht="25.5" x14ac:dyDescent="0.2">
      <c r="A4" s="45" t="s">
        <v>117</v>
      </c>
      <c r="B4" s="51" t="s">
        <v>69</v>
      </c>
      <c r="C4" s="6" t="s">
        <v>70</v>
      </c>
      <c r="D4" s="52" t="s">
        <v>58</v>
      </c>
      <c r="E4" s="6" t="s">
        <v>59</v>
      </c>
      <c r="F4" s="6" t="s">
        <v>60</v>
      </c>
      <c r="G4" s="6">
        <v>75000000</v>
      </c>
      <c r="H4" s="6">
        <v>2013</v>
      </c>
      <c r="I4" s="6" t="s">
        <v>61</v>
      </c>
    </row>
    <row r="5" spans="1:9" ht="25.5" x14ac:dyDescent="0.2">
      <c r="A5" s="45" t="s">
        <v>117</v>
      </c>
      <c r="B5" s="51" t="s">
        <v>62</v>
      </c>
      <c r="C5" s="6" t="s">
        <v>63</v>
      </c>
      <c r="D5" s="53" t="s">
        <v>53</v>
      </c>
      <c r="E5" s="6" t="s">
        <v>54</v>
      </c>
      <c r="F5" s="6" t="s">
        <v>60</v>
      </c>
      <c r="G5" s="6">
        <v>74340000</v>
      </c>
      <c r="H5" s="6">
        <v>2014</v>
      </c>
      <c r="I5" s="54" t="s">
        <v>55</v>
      </c>
    </row>
    <row r="6" spans="1:9" ht="25.5" x14ac:dyDescent="0.2">
      <c r="A6" s="45" t="s">
        <v>117</v>
      </c>
      <c r="B6" s="51" t="s">
        <v>56</v>
      </c>
      <c r="C6" s="6" t="s">
        <v>57</v>
      </c>
      <c r="D6" s="6" t="s">
        <v>48</v>
      </c>
      <c r="E6" s="6" t="s">
        <v>59</v>
      </c>
      <c r="F6" s="6" t="s">
        <v>60</v>
      </c>
      <c r="G6" s="34">
        <v>32000000</v>
      </c>
      <c r="H6" s="6">
        <v>2015</v>
      </c>
      <c r="I6" s="54" t="s">
        <v>49</v>
      </c>
    </row>
    <row r="7" spans="1:9" ht="25.5" x14ac:dyDescent="0.2">
      <c r="A7" s="6" t="s">
        <v>50</v>
      </c>
      <c r="B7" s="51" t="s">
        <v>69</v>
      </c>
      <c r="C7" s="6" t="s">
        <v>70</v>
      </c>
      <c r="D7" s="52" t="s">
        <v>58</v>
      </c>
      <c r="E7" s="6" t="s">
        <v>59</v>
      </c>
      <c r="F7" s="6" t="s">
        <v>60</v>
      </c>
      <c r="G7" s="6">
        <v>75000000</v>
      </c>
      <c r="H7" s="6">
        <v>2013</v>
      </c>
      <c r="I7" s="55" t="s">
        <v>61</v>
      </c>
    </row>
    <row r="8" spans="1:9" ht="25.5" x14ac:dyDescent="0.2">
      <c r="A8" s="6" t="s">
        <v>50</v>
      </c>
      <c r="B8" s="51" t="s">
        <v>51</v>
      </c>
      <c r="C8" s="6" t="s">
        <v>52</v>
      </c>
      <c r="D8" s="56" t="s">
        <v>46</v>
      </c>
      <c r="E8" s="6" t="s">
        <v>54</v>
      </c>
      <c r="F8" s="6" t="s">
        <v>60</v>
      </c>
      <c r="G8" s="6">
        <v>23000000</v>
      </c>
      <c r="H8" s="6">
        <v>2013</v>
      </c>
      <c r="I8" s="55" t="s">
        <v>47</v>
      </c>
    </row>
    <row r="9" spans="1:9" ht="25.5" x14ac:dyDescent="0.2">
      <c r="A9" s="6" t="s">
        <v>50</v>
      </c>
      <c r="B9" s="51" t="s">
        <v>62</v>
      </c>
      <c r="C9" s="6" t="s">
        <v>63</v>
      </c>
      <c r="D9" s="56" t="s">
        <v>53</v>
      </c>
      <c r="E9" s="6" t="s">
        <v>54</v>
      </c>
      <c r="F9" s="6" t="s">
        <v>60</v>
      </c>
      <c r="G9" s="6">
        <v>74330000</v>
      </c>
      <c r="H9" s="6">
        <v>2014</v>
      </c>
      <c r="I9" s="55" t="s">
        <v>55</v>
      </c>
    </row>
    <row r="10" spans="1:9" ht="25.5" x14ac:dyDescent="0.2">
      <c r="A10" s="6" t="s">
        <v>120</v>
      </c>
      <c r="B10" s="51" t="s">
        <v>62</v>
      </c>
      <c r="C10" s="6" t="s">
        <v>63</v>
      </c>
      <c r="D10" s="56" t="s">
        <v>53</v>
      </c>
      <c r="E10" s="6" t="s">
        <v>54</v>
      </c>
      <c r="F10" s="6" t="s">
        <v>60</v>
      </c>
      <c r="G10" s="6">
        <v>204000000</v>
      </c>
      <c r="H10" s="6">
        <v>2014</v>
      </c>
      <c r="I10" s="55" t="s">
        <v>55</v>
      </c>
    </row>
    <row r="11" spans="1:9" x14ac:dyDescent="0.2">
      <c r="A11" s="6" t="s">
        <v>117</v>
      </c>
      <c r="B11" s="6" t="s">
        <v>21</v>
      </c>
      <c r="C11" s="6" t="s">
        <v>22</v>
      </c>
      <c r="D11" s="52" t="s">
        <v>23</v>
      </c>
      <c r="E11" s="6" t="s">
        <v>54</v>
      </c>
      <c r="F11" s="6" t="s">
        <v>60</v>
      </c>
      <c r="G11" s="6">
        <v>87200000</v>
      </c>
      <c r="H11" s="6">
        <v>2013</v>
      </c>
      <c r="I11" s="55" t="s">
        <v>24</v>
      </c>
    </row>
    <row r="13" spans="1:9" ht="13.5" thickBot="1" x14ac:dyDescent="0.25"/>
    <row r="14" spans="1:9" ht="38.25" x14ac:dyDescent="0.2">
      <c r="A14" s="35" t="s">
        <v>13</v>
      </c>
      <c r="B14" s="36" t="s">
        <v>87</v>
      </c>
      <c r="C14" s="36" t="s">
        <v>111</v>
      </c>
      <c r="D14" s="36" t="s">
        <v>112</v>
      </c>
      <c r="E14" s="36" t="s">
        <v>113</v>
      </c>
      <c r="F14" s="57" t="s">
        <v>25</v>
      </c>
      <c r="G14" s="36" t="s">
        <v>114</v>
      </c>
      <c r="H14" s="37" t="s">
        <v>115</v>
      </c>
    </row>
    <row r="15" spans="1:9" x14ac:dyDescent="0.2">
      <c r="A15" s="58" t="s">
        <v>117</v>
      </c>
      <c r="B15" s="59">
        <f>SUMPRODUCT(((E4:E10="coal")*(F4:F10="upstream")*(A4:A10="Development Bank of Southern Africa")),G4:G10)/1000000</f>
        <v>0</v>
      </c>
      <c r="C15" s="59">
        <f>SUMPRODUCT(((E4:E10="coal")*(F4:F10="downstream")*(A4:A10="Development Bank of Southern Africa")),G4:G10)/1000000</f>
        <v>107</v>
      </c>
      <c r="D15" s="59">
        <f>SUMPRODUCT(((E4:E10="oil&amp;gas")*(F4:F10="upstream")*(A4:A10="Development Bank of Southern Africa")),G4:G10)/1000000</f>
        <v>0</v>
      </c>
      <c r="E15" s="59">
        <f>SUMPRODUCT(((E4:E11="oil&amp;gas")*(F4:F11="downstream")*(A4:A11="Development Bank of Southern Africa")),G4:G11)/1000000</f>
        <v>161.54</v>
      </c>
      <c r="F15" s="59">
        <f>SUMPRODUCT(((E4:E10="oil&amp;gas""coal")*(F4:F10="midstream""mixed")*(A4:A10="Development Bank of Southern Africa")),G4:G10)/1000000</f>
        <v>0</v>
      </c>
      <c r="G15" s="60">
        <f>SUM(B15:F15)</f>
        <v>268.53999999999996</v>
      </c>
      <c r="H15" s="61">
        <f>G15/2</f>
        <v>134.26999999999998</v>
      </c>
    </row>
    <row r="16" spans="1:9" x14ac:dyDescent="0.2">
      <c r="A16" s="58" t="s">
        <v>119</v>
      </c>
      <c r="B16" s="59">
        <f t="shared" ref="B16:B17" si="0">SUMPRODUCT(((E5:E11="coal")*(F5:F11="upstream")*(A5:A11="Development Bank of Southern Africa")),G5:G11)/1000000</f>
        <v>0</v>
      </c>
      <c r="C16" s="59">
        <f>SUMPRODUCT(((E4:E10="coal")*(F4:F10="downstream")*(A4:A10="Industrial Development Corporation")),G4:G10)/1000000</f>
        <v>75</v>
      </c>
      <c r="D16" s="59">
        <f>SUMPRODUCT(((E4:E10="oil&amp;gas")*(F4:F10="upstream")*(A4:A10="Industrial Development Corporation")),G4:G10)/1000000</f>
        <v>0</v>
      </c>
      <c r="E16" s="59">
        <f>SUMPRODUCT(((E4:E10="oil&amp;gas")*(F4:F10="downstream")*(A4:A10="Industrial Development Corporation")),G4:G10)/1000000</f>
        <v>97.33</v>
      </c>
      <c r="F16" s="59">
        <f>SUMPRODUCT(((E4:E10="oil&amp;gas""coal")*(F4:F10="midstream""mixed")*(A4:A10="Industrial Development Corporation")),G4:G10)/1000000</f>
        <v>0</v>
      </c>
      <c r="G16" s="60">
        <f>SUM(B16:F16)</f>
        <v>172.32999999999998</v>
      </c>
      <c r="H16" s="61">
        <f>G16/2</f>
        <v>86.164999999999992</v>
      </c>
    </row>
    <row r="17" spans="1:12" x14ac:dyDescent="0.2">
      <c r="A17" s="58" t="s">
        <v>120</v>
      </c>
      <c r="B17" s="59">
        <f t="shared" si="0"/>
        <v>0</v>
      </c>
      <c r="C17" s="59">
        <f>SUMPRODUCT(((E4:E10="coal")*(F4:F10="downstream")*(A4:A10="Export Credit Insurance Corporation")),G4:G10/1000000)</f>
        <v>0</v>
      </c>
      <c r="D17" s="59">
        <f>SUMPRODUCT(((E4:E10="oil&amp;gas")*(F4:F10="upstream")*(A4:A10="Export Credit Insurance Corporation")),G4:G10)/1000000</f>
        <v>0</v>
      </c>
      <c r="E17" s="59">
        <f>SUMPRODUCT(((E4:E10="oil&amp;gas")*(F4:F10="downstream")*(A4:A10="Export Credit Insurance Corporation")),G4:G10)/1000000</f>
        <v>204</v>
      </c>
      <c r="F17" s="59">
        <f>SUMPRODUCT(((E4:E10="oil&amp;gas""coal")*(F4:F10="midstream""mixed")*(A4:A10="Export Credit Insurance Corporation")),G4:G10)/1000000</f>
        <v>0</v>
      </c>
      <c r="G17" s="62">
        <f>SUM(B17:F17)</f>
        <v>204</v>
      </c>
      <c r="H17" s="62">
        <f>G17/2</f>
        <v>102</v>
      </c>
    </row>
    <row r="24" spans="1:12" x14ac:dyDescent="0.2">
      <c r="L24" s="34"/>
    </row>
    <row r="27" spans="1:12" x14ac:dyDescent="0.2">
      <c r="K27" s="6">
        <f xml:space="preserve"> 207000000*0.0932</f>
        <v>19292400</v>
      </c>
    </row>
  </sheetData>
  <phoneticPr fontId="18" type="noConversion"/>
  <hyperlinks>
    <hyperlink ref="I5" r:id="rId1"/>
    <hyperlink ref="I7" r:id="rId2"/>
    <hyperlink ref="I8" r:id="rId3"/>
    <hyperlink ref="I9" r:id="rId4"/>
    <hyperlink ref="I10" r:id="rId5"/>
    <hyperlink ref="I11" r:id="rId6"/>
  </hyperlinks>
  <pageMargins left="0.75" right="0.75" top="1" bottom="1" header="0.5" footer="0.5"/>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6" ma:contentTypeDescription="Create a new document." ma:contentTypeScope="" ma:versionID="466f2529c50cae2225198f0240402871">
  <xsd:schema xmlns:xsd="http://www.w3.org/2001/XMLSchema" xmlns:xs="http://www.w3.org/2001/XMLSchema" xmlns:p="http://schemas.microsoft.com/office/2006/metadata/properties" xmlns:ns2="94cc8053-8d8c-49ea-856f-1648b6275459" targetNamespace="http://schemas.microsoft.com/office/2006/metadata/properties" ma:root="true" ma:fieldsID="3b956c1589ceff16b55347cca0f3782c"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1</Order0>
    <Resource_x0020_or_x0020_opinion_x0020_entry xmlns="94cc8053-8d8c-49ea-856f-1648b6275459">10083;#</Resource_x0020_or_x0020_opinion_x0020_entry>
    <Publish_x0020_to_x0020_web_x003f_ xmlns="94cc8053-8d8c-49ea-856f-1648b6275459">true</Publish_x0020_to_x0020_web_x003f_>
    <Resource_x0020_or_x0020_opinion_x0020_entryC_WebSection xmlns="94cc8053-8d8c-49ea-856f-1648b6275459">10083;#10083</Resource_x0020_or_x0020_opinion_x0020_entryC_WebSection>
    <External_x0020_download xmlns="94cc8053-8d8c-49ea-856f-1648b6275459" xsi:nil="true"/>
    <Number_x0020_of_x0020_pages xmlns="94cc8053-8d8c-49ea-856f-1648b6275459" xsi:nil="true"/>
    <Resource_x0020_or_x0020_opinion_x0020_entryAuthor_x0028_s_x0029_ xmlns="94cc8053-8d8c-49ea-856f-1648b6275459">10083;#10083</Resource_x0020_or_x0020_opinion_x0020_entryAuthor_x0028_s_x0029_>
    <Resource_x0020_or_x0020_opinion_x0020_entryTitle_x002c__x0020_series_x0020_0 xmlns="94cc8053-8d8c-49ea-856f-1648b6275459">10083;#10083</Resource_x0020_or_x0020_opinion_x0020_entryTitle_x002c__x0020_series_x0020_0>
    <C_Resource_x0020_or_x0020_opinion_x0020_entry xmlns="94cc8053-8d8c-49ea-856f-1648b6275459">10083</C_Resource_x0020_or_x0020_opinion_x0020_entry>
    <C_Resource_x0020_or_x0020_opinion_x0020_entryC_WebSection xmlns="94cc8053-8d8c-49ea-856f-1648b6275459">Publication</C_Resource_x0020_or_x0020_opinion_x0020_entryC_WebSection>
    <C_Resource_x0020_or_x0020_opinion_x0020_entryTitle_x002c__x0020_series_x0020_0 xmlns="94cc8053-8d8c-49ea-856f-1648b6275459">G20 subsidies to oil, gas and coal production: South Africa -  - Research reports and studies</C_Resource_x0020_or_x0020_opinion_x0020_entryTitle_x002c__x0020_series_x0020_0>
    <C_Resource_x0020_or_x0020_opinion_x0020_entryAuthor_x0028_s_x0029_ xmlns="94cc8053-8d8c-49ea-856f-1648b6275459">Vibhuti Garg, Lucy Kitson and Shelagh Whitley</C_Resource_x0020_or_x0020_opinion_x0020_entryAuthor_x0028_s_x0029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5E04D6-19D4-4E1F-90C9-3E1D41132989}"/>
</file>

<file path=customXml/itemProps2.xml><?xml version="1.0" encoding="utf-8"?>
<ds:datastoreItem xmlns:ds="http://schemas.openxmlformats.org/officeDocument/2006/customXml" ds:itemID="{F3CAD1E2-BD23-41E8-9504-1323CC007930}"/>
</file>

<file path=customXml/itemProps3.xml><?xml version="1.0" encoding="utf-8"?>
<ds:datastoreItem xmlns:ds="http://schemas.openxmlformats.org/officeDocument/2006/customXml" ds:itemID="{5A790523-5C8B-4C46-AC77-44693C962A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National Subsidies</vt:lpstr>
      <vt:lpstr>SOE Investment</vt:lpstr>
      <vt:lpstr>PF_Summary</vt:lpstr>
      <vt:lpstr>PF_Domestic_Full</vt:lpstr>
      <vt:lpstr>PF_International_Full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South Africa Data Sheet</dc:title>
  <dc:creator>Sam Pickard</dc:creator>
  <cp:lastModifiedBy>Caroline Haywood</cp:lastModifiedBy>
  <dcterms:created xsi:type="dcterms:W3CDTF">2015-08-18T14:38:53Z</dcterms:created>
  <dcterms:modified xsi:type="dcterms:W3CDTF">2015-11-11T13:53:44Z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