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s://progs.odinet.org.uk/ccef/F01469/shareddocuments/G20 production/"/>
    </mc:Choice>
  </mc:AlternateContent>
  <bookViews>
    <workbookView xWindow="0" yWindow="0" windowWidth="16752" windowHeight="6552" tabRatio="500" activeTab="1"/>
  </bookViews>
  <sheets>
    <sheet name="Overview" sheetId="9" r:id="rId1"/>
    <sheet name="National Subsidies" sheetId="1" r:id="rId2"/>
    <sheet name="SOE Investment" sheetId="8" r:id="rId3"/>
    <sheet name="PF_Summary" sheetId="3" r:id="rId4"/>
    <sheet name="PF_Domestic_Full" sheetId="5" r:id="rId5"/>
    <sheet name="PF_International_Full" sheetId="6" r:id="rId6"/>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5" i="1" l="1"/>
  <c r="F5" i="1"/>
  <c r="G7" i="3" l="1"/>
  <c r="D8" i="3"/>
  <c r="C8" i="3"/>
  <c r="B8" i="3"/>
  <c r="G9" i="5"/>
  <c r="E14" i="1"/>
  <c r="G14" i="1" s="1"/>
  <c r="F15" i="1"/>
  <c r="G15" i="1"/>
  <c r="E18" i="1"/>
  <c r="G18" i="1" s="1"/>
  <c r="F18" i="1"/>
  <c r="F6" i="1"/>
  <c r="G6" i="1"/>
  <c r="E7" i="1"/>
  <c r="F7" i="1"/>
  <c r="E8" i="1"/>
  <c r="F8" i="1"/>
  <c r="G8" i="1" s="1"/>
  <c r="F16" i="1"/>
  <c r="G16" i="1" s="1"/>
  <c r="G96" i="6"/>
  <c r="G97" i="6"/>
  <c r="G102" i="6"/>
  <c r="G105" i="6"/>
  <c r="G113" i="6"/>
  <c r="B146" i="6"/>
  <c r="B10" i="3" s="1"/>
  <c r="B148" i="6"/>
  <c r="B12" i="3" s="1"/>
  <c r="B13" i="3"/>
  <c r="B14" i="3"/>
  <c r="C146" i="6"/>
  <c r="C10" i="3" s="1"/>
  <c r="C148" i="6"/>
  <c r="C12" i="3" s="1"/>
  <c r="C13" i="3"/>
  <c r="C14" i="3"/>
  <c r="D146" i="6"/>
  <c r="D10" i="3" s="1"/>
  <c r="D148" i="6"/>
  <c r="D12" i="3" s="1"/>
  <c r="D13" i="3"/>
  <c r="D14" i="3"/>
  <c r="E8" i="3"/>
  <c r="E146" i="6"/>
  <c r="E10" i="3" s="1"/>
  <c r="E149" i="6"/>
  <c r="E13" i="3" s="1"/>
  <c r="G13" i="3" s="1"/>
  <c r="H13" i="3" s="1"/>
  <c r="E14" i="3"/>
  <c r="G14" i="3" s="1"/>
  <c r="H14" i="3" s="1"/>
  <c r="F5" i="3"/>
  <c r="F8" i="3" s="1"/>
  <c r="F146" i="6"/>
  <c r="F10" i="3" s="1"/>
  <c r="F148" i="6"/>
  <c r="F12" i="3"/>
  <c r="F13" i="3"/>
  <c r="G9" i="1"/>
  <c r="G10" i="1"/>
  <c r="G11" i="1"/>
  <c r="G12" i="1"/>
  <c r="G17" i="1"/>
  <c r="G149" i="6"/>
  <c r="H149" i="6"/>
  <c r="J5" i="1" l="1"/>
  <c r="G7" i="1"/>
  <c r="G19" i="1" s="1"/>
  <c r="G141" i="6"/>
  <c r="E148" i="6" s="1"/>
  <c r="E12" i="3" s="1"/>
  <c r="G12" i="3" s="1"/>
  <c r="H12" i="3" s="1"/>
  <c r="D147" i="6"/>
  <c r="D11" i="3" s="1"/>
  <c r="D15" i="3" s="1"/>
  <c r="D17" i="3" s="1"/>
  <c r="F147" i="6"/>
  <c r="F11" i="3" s="1"/>
  <c r="F15" i="3" s="1"/>
  <c r="F17" i="3" s="1"/>
  <c r="C147" i="6"/>
  <c r="C11" i="3" s="1"/>
  <c r="E147" i="6"/>
  <c r="E11" i="3" s="1"/>
  <c r="G10" i="3"/>
  <c r="C15" i="3"/>
  <c r="C17" i="3" s="1"/>
  <c r="G146" i="6"/>
  <c r="G5" i="3"/>
  <c r="E15" i="3" l="1"/>
  <c r="E17" i="3" s="1"/>
  <c r="B147" i="6"/>
  <c r="G147" i="6" s="1"/>
  <c r="H146" i="6"/>
  <c r="G8" i="3"/>
  <c r="H5" i="3"/>
  <c r="G148" i="6"/>
  <c r="H148" i="6" s="1"/>
  <c r="H10" i="3"/>
  <c r="H147" i="6" l="1"/>
  <c r="G150" i="6"/>
  <c r="B11" i="3"/>
  <c r="B15" i="3" s="1"/>
  <c r="B17" i="3" s="1"/>
  <c r="G11" i="3" l="1"/>
  <c r="H11" i="3"/>
  <c r="H15" i="3" s="1"/>
  <c r="H17" i="3" s="1"/>
  <c r="G15" i="3"/>
  <c r="G17" i="3" s="1"/>
</calcChain>
</file>

<file path=xl/sharedStrings.xml><?xml version="1.0" encoding="utf-8"?>
<sst xmlns="http://schemas.openxmlformats.org/spreadsheetml/2006/main" count="1149" uniqueCount="509">
  <si>
    <t>SOE Investment (USD  - except where otherwise indicated)</t>
  </si>
  <si>
    <t>We have not identified any domestic SOEs involved in fossil fuel production in the UK.</t>
  </si>
  <si>
    <t>no data</t>
    <phoneticPr fontId="3" type="noConversion"/>
  </si>
  <si>
    <t>UK Export Finance</t>
    <phoneticPr fontId="3" type="noConversion"/>
  </si>
  <si>
    <t>Department for International Development</t>
    <phoneticPr fontId="3" type="noConversion"/>
  </si>
  <si>
    <t>CDC Group</t>
    <phoneticPr fontId="3" type="noConversion"/>
  </si>
  <si>
    <t>Multilateral Development Banks</t>
    <phoneticPr fontId="3" type="noConversion"/>
  </si>
  <si>
    <t>midstream</t>
    <phoneticPr fontId="3" type="noConversion"/>
  </si>
  <si>
    <t>Total Annual Average of National Subsidies</t>
  </si>
  <si>
    <t>OECD (2015) and  http://www.parliament.uk/business/publications/written-questions-answers-statements/written-question/Commons/2014-09-09/208802</t>
  </si>
  <si>
    <t>Source(s)</t>
  </si>
  <si>
    <t>Funding for CCS Feed Studies</t>
  </si>
  <si>
    <t>Coal mine liabilities</t>
  </si>
  <si>
    <t>Coal</t>
  </si>
  <si>
    <t xml:space="preserve">OECD (2015) </t>
  </si>
  <si>
    <t>Coal mining</t>
    <phoneticPr fontId="3" type="noConversion"/>
  </si>
  <si>
    <r>
      <t xml:space="preserve">Public finance </t>
    </r>
    <r>
      <rPr>
        <b/>
        <sz val="10"/>
        <color indexed="62"/>
        <rFont val="Arial"/>
        <family val="2"/>
      </rPr>
      <t>international</t>
    </r>
    <r>
      <rPr>
        <b/>
        <sz val="10"/>
        <color rgb="FF4F81BD"/>
        <rFont val="Arial"/>
        <family val="2"/>
      </rPr>
      <t xml:space="preserve"> (full) (USD  - except where otherwise indicated)</t>
    </r>
    <phoneticPr fontId="3" type="noConversion"/>
  </si>
  <si>
    <r>
      <t xml:space="preserve">Public finance </t>
    </r>
    <r>
      <rPr>
        <b/>
        <sz val="10"/>
        <color indexed="62"/>
        <rFont val="Arial"/>
        <family val="2"/>
      </rPr>
      <t>domestic (full)</t>
    </r>
    <r>
      <rPr>
        <b/>
        <sz val="10"/>
        <color rgb="FF4F81BD"/>
        <rFont val="Arial"/>
        <family val="2"/>
      </rPr>
      <t xml:space="preserve"> (USD  - except where otherwise indicated)</t>
    </r>
    <phoneticPr fontId="3" type="noConversion"/>
  </si>
  <si>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</si>
  <si>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</si>
  <si>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</si>
  <si>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</si>
  <si>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</si>
  <si>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</si>
  <si>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</si>
  <si>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t>https://www.gov.uk/government/uploads/system/uploads/attachment_data/file/293835/TIIN_8164_capital_allowances_regime_mineral_extraction_allowance.pdf</t>
  </si>
  <si>
    <t>not quantifiable</t>
  </si>
  <si>
    <t>https://www.gov.uk/government/uploads/system/uploads/attachment_data/file/385188/TIIN_2028.pdf</t>
  </si>
  <si>
    <t>http://dx.doi.org/10.1787/data-00488-en</t>
  </si>
  <si>
    <t>https://www.gov.uk/government/uploads/system/uploads/attachment_data/file/382327/44695_Accessible.pdf</t>
  </si>
  <si>
    <t>United Kingdom</t>
  </si>
  <si>
    <t>China</t>
  </si>
  <si>
    <t>Netherlands</t>
  </si>
  <si>
    <t>United States</t>
  </si>
  <si>
    <t>Downstream Coal</t>
  </si>
  <si>
    <t xml:space="preserve">Upstream Oil &amp; Gas </t>
  </si>
  <si>
    <t xml:space="preserve">Downstream Oil &amp; Gas </t>
  </si>
  <si>
    <t>Annual avg. fossil fuel finance</t>
  </si>
  <si>
    <t>Subsidy</t>
  </si>
  <si>
    <t>Subsidy type</t>
  </si>
  <si>
    <t>Targeted energy source</t>
  </si>
  <si>
    <t>Stage:</t>
  </si>
  <si>
    <t>Tax expenditure</t>
  </si>
  <si>
    <t>Direct spending (including on infrastructure)</t>
  </si>
  <si>
    <t>Institution name</t>
  </si>
  <si>
    <t>Domestic</t>
  </si>
  <si>
    <t>International</t>
  </si>
  <si>
    <t>Project</t>
  </si>
  <si>
    <t>Description</t>
  </si>
  <si>
    <t>Fossil Fuel Sector</t>
  </si>
  <si>
    <t>Value</t>
  </si>
  <si>
    <t>Period</t>
  </si>
  <si>
    <t>Recipient Country</t>
  </si>
  <si>
    <t>PF Institution</t>
  </si>
  <si>
    <t>Upstream Coal</t>
  </si>
  <si>
    <t xml:space="preserve">Offsetting capital costs associated with field decommissioning </t>
  </si>
  <si>
    <t xml:space="preserve">Coal fired power </t>
    <phoneticPr fontId="3" type="noConversion"/>
  </si>
  <si>
    <t>Upstream oil and gas</t>
    <phoneticPr fontId="3" type="noConversion"/>
  </si>
  <si>
    <t>Oil and gas pipelines, power plants and refineries</t>
    <phoneticPr fontId="3" type="noConversion"/>
  </si>
  <si>
    <t>Multiple or unspecified fossil fuels</t>
    <phoneticPr fontId="3" type="noConversion"/>
  </si>
  <si>
    <t>Total fossil fuel finance 2013 &amp; 2014</t>
    <phoneticPr fontId="3" type="noConversion"/>
  </si>
  <si>
    <t>Annual avg. fossil fuel finance</t>
    <phoneticPr fontId="3" type="noConversion"/>
  </si>
  <si>
    <r>
      <t>National subsidies (</t>
    </r>
    <r>
      <rPr>
        <b/>
        <sz val="10"/>
        <color indexed="62"/>
        <rFont val="Arial"/>
        <family val="2"/>
      </rPr>
      <t xml:space="preserve">million </t>
    </r>
    <r>
      <rPr>
        <b/>
        <sz val="10"/>
        <color rgb="FF4F81BD"/>
        <rFont val="Arial"/>
        <family val="2"/>
      </rPr>
      <t>USD  - except where otherwise indicated)</t>
    </r>
    <phoneticPr fontId="3" type="noConversion"/>
  </si>
  <si>
    <t xml:space="preserve">2013 estimate </t>
    <phoneticPr fontId="3" type="noConversion"/>
  </si>
  <si>
    <t>2014 estimate</t>
    <phoneticPr fontId="3" type="noConversion"/>
  </si>
  <si>
    <t>Estimated annual amount</t>
    <phoneticPr fontId="3" type="noConversion"/>
  </si>
  <si>
    <t>Shale gas public awareness campaign</t>
  </si>
  <si>
    <t>Gas</t>
  </si>
  <si>
    <t>To maintain HMG's obligation to provide the Pitcairn Islands assistance needs in a cost effective manner, ensuring value for money to the UK tax payer. Power generation/nonrenewable budget of 1.04% of £3,069,940</t>
    <phoneticPr fontId="3" type="noConversion"/>
  </si>
  <si>
    <t>Oil and Gas</t>
  </si>
  <si>
    <t>Downstream</t>
    <phoneticPr fontId="3" type="noConversion"/>
  </si>
  <si>
    <t>http://devtracker.dfid.gov.uk/projects/GB-1-203554/</t>
    <phoneticPr fontId="3" type="noConversion"/>
  </si>
  <si>
    <t>CPC Pipeline Expansion Financing</t>
  </si>
  <si>
    <t>Kazakhastan</t>
  </si>
  <si>
    <t>CDC</t>
    <phoneticPr fontId="3" type="noConversion"/>
  </si>
  <si>
    <t>Subtotal international</t>
  </si>
  <si>
    <t>Totals 2013/2014</t>
  </si>
  <si>
    <t>Stage</t>
  </si>
  <si>
    <t>Source</t>
    <phoneticPr fontId="3" type="noConversion"/>
  </si>
  <si>
    <t>Royal Bank of Scotland</t>
  </si>
  <si>
    <t>RBL Refinancing Facility 2013</t>
    <phoneticPr fontId="3" type="noConversion"/>
  </si>
  <si>
    <t>https://www.gov.uk/guidance/uk-carbon-capture-and-storage-government-funding-and-support</t>
  </si>
  <si>
    <t>The US$610 million RBL facility replaces both the existing $430m RBL facility that was put in place in May 2012 and the $350m bridge credit facility that was established in March 2013 to facilitate Ithaca’s acquisition of Valian. Established a new five year $100m corporate facility, providing additional funding flexibility to add new appraisal / development opportunities to the existing portfolio.</t>
    <phoneticPr fontId="3" type="noConversion"/>
  </si>
  <si>
    <t>oil&amp;gas</t>
  </si>
  <si>
    <t>upstream</t>
  </si>
  <si>
    <t>Refinancing the Welsh utility based in Newport, acquired by the Cheung Kong Group in Q4 2012. Wales and West Utilities operates 35,000 km of gas distribution pipelines covering Wales and the South West of England</t>
    <phoneticPr fontId="3" type="noConversion"/>
  </si>
  <si>
    <t>midstream</t>
  </si>
  <si>
    <t>http://www.ijonline.com/data/transaction/28271/wales-and-west-utilities-refinancing-2013</t>
  </si>
  <si>
    <t>http://www.foe.co.uk/sites/default/files/downloads/14-worth-2.7-billion-46637.pdf</t>
  </si>
  <si>
    <t>https://www.gov.uk/government/uploads/system/uploads/attachment_data/file/389539/20141231_expenditure_reliefs_v0.3.pdf</t>
  </si>
  <si>
    <t>https://www.gov.uk/government/uploads/system/uploads/attachment_data/file/438739/11_12.pdf</t>
  </si>
  <si>
    <t>http://www.ijonline.com/data/transaction/26375/delta-nv-credit-facility-2013</t>
  </si>
  <si>
    <t>Ratch Australia Refinancing 2013</t>
  </si>
  <si>
    <t>Australia</t>
  </si>
  <si>
    <t>This financing is to fund the acquisition of SGH by Energeticky a Prumyslovy Holding a.s. (“EPH”, CL11). Slovak Gas Holding B.V. (“SGH”, CL09) is a holding company that has 49% ownership and management control of Slovensky Plynarensky Priemysel. The remaining 51% is owned by the Slovak Property Fund (fully owned by Slovak government). SPP is a large EU gas transporter. EPH has concluded a revised shareholder agreement with the Slovak government in which (i) SGH retains management control of SPP, (ii) SPP is to maximize dividends and (iii) max Net Debt at SPP is set at 2.5x EBITDA.</t>
    <phoneticPr fontId="3" type="noConversion"/>
  </si>
  <si>
    <t>Royal Bank of Scotland</t>
    <phoneticPr fontId="3" type="noConversion"/>
  </si>
  <si>
    <t>Subtotal domestic</t>
  </si>
  <si>
    <t>Tax exemption</t>
  </si>
  <si>
    <t>Oil and gas</t>
  </si>
  <si>
    <t>decommissioning</t>
  </si>
  <si>
    <t>Field Allowance ($1.68 billion over 5-year period)</t>
  </si>
  <si>
    <t>no data</t>
  </si>
  <si>
    <t>production</t>
  </si>
  <si>
    <t>PRT Oil Allowance</t>
  </si>
  <si>
    <t>Oil</t>
  </si>
  <si>
    <t>PRT Tariff Receipts Allowance</t>
  </si>
  <si>
    <t xml:space="preserve">Ring-fence Expenditure Supplement </t>
  </si>
  <si>
    <t>Oil, gas, coal</t>
  </si>
  <si>
    <t>PRT Uplift</t>
  </si>
  <si>
    <t>Safeguard for less profitable fields</t>
  </si>
  <si>
    <t>Mineral Extraction Allowance (including 2014 acceleration)</t>
  </si>
  <si>
    <t>Fossil fuel R&amp;D</t>
  </si>
  <si>
    <t>Direct spending</t>
  </si>
  <si>
    <t>cross-cutting</t>
  </si>
  <si>
    <t>Launch of subsurface research test centre</t>
  </si>
  <si>
    <t>Oil, gas, coal (CCS)</t>
  </si>
  <si>
    <t>CCS</t>
  </si>
  <si>
    <t>Financing the expansion of the CPC (Caspian Pipeline Consortium) Oil Pipeline, which runs over 1,500km from Kazakhstan's Tengiz oilfields to the Russian Black Sea coastal city of Novorossiysk. The expansion will double the capacity of the pipeline to 1.5 million barrels of oil per day, accommodating for the expansion of the Tengiz Chevroil oilfield in Kazakhstan. An expansion is seen as integral to the sponsor group and participating governments, who will see their tariff revenues rise significantly once full capacity is achieved. The work will include 10 more pumping stations along the route, new storage facilities and another mooring bay at the Black Sea terminal. The first phase of the pipeline was inaugurated in November 2001.</t>
    <phoneticPr fontId="3" type="noConversion"/>
  </si>
  <si>
    <t>oil&amp;gas</t>
    <phoneticPr fontId="3" type="noConversion"/>
  </si>
  <si>
    <t>https://ijglobal.com/data/transaction/22098/cpc-pipeline-expansion-financing</t>
  </si>
  <si>
    <t>Acquisition of Slovak Gas Holding</t>
  </si>
  <si>
    <t>Slovakia</t>
  </si>
  <si>
    <t>Department for International Development</t>
    <phoneticPr fontId="3" type="noConversion"/>
  </si>
  <si>
    <t>Pitcairn Budgetary Aid 2014/15 [GB-1-203554]</t>
    <phoneticPr fontId="3" type="noConversion"/>
  </si>
  <si>
    <t>United Kingdom</t>
    <phoneticPr fontId="3" type="noConversion"/>
  </si>
  <si>
    <t>Refinancing facility for a portfolio of power assets in Australia. RATCH-Australia is owned by a major Thai power generation company, Ratchaburi Electricity Generating Holding PCL and Transfield Services Limited, an ASX listed engineering services company. RATCH-Australia is an independent power producer in Australia and owns a portfolio of power generation assets totalling 815 MW. These consist of ownership or an interest in four power stations and three wind farms. All of the assets are owned on a long term basis.</t>
    <phoneticPr fontId="3" type="noConversion"/>
  </si>
  <si>
    <t>http://www.ijonline.com/data/transaction/26528/ratch-australia-refinancing-2013</t>
  </si>
  <si>
    <t>Acquisition of Total’s TIGF natural gas network</t>
  </si>
  <si>
    <t>France</t>
    <phoneticPr fontId="3" type="noConversion"/>
  </si>
  <si>
    <t>https://ijglobal.com/data/transaction/28007/ithaca-energy-rbl-refinancing-facility-2013</t>
  </si>
  <si>
    <t>Wales &amp; West Utilities Refinancing 2013</t>
  </si>
  <si>
    <t>The refinancing will be used to support the acquisition of 49% stake in Slovak gas distributor Slovensky Plynarensky Priemysel (SPP) by Energetický a Průmyslový Holding (EPH). EPH has signed on a €1.78bn ($2415.45m) refinancing and the banks participating in the senior secured loan include Citibank, local Societe Generale subsidiary Komercni Banka, Royal Bank of Scotland and UniCredit. The loan comprises of three tranches - a €300m ($407.1m)direct loan, a term loan of €500m ($678.5m), and a €980m ($1329.86m) bridge facility. The original acquisition deal closed in February, 2013 and comprised a $1,734m term loan and a $267m bridge facility.</t>
    <phoneticPr fontId="3" type="noConversion"/>
  </si>
  <si>
    <t>https://ijglobal.com/data/transaction/30758/slovak-gas-holding-acquisition-refinancing-2014</t>
  </si>
  <si>
    <t>Delta NV Credit Facility 2013</t>
  </si>
  <si>
    <t>Global</t>
    <phoneticPr fontId="3" type="noConversion"/>
  </si>
  <si>
    <t>EUR 450 million revolving credit facility for Delta NV. Delta NV is a multi-utility company involved in various business operations such as electricity generation, transportation and supply of energy, environmental services concerned with waste management and industrial cleaning, and cable services for analogue and digital television as well as Internet and digital telephony over cable.</t>
    <phoneticPr fontId="3" type="noConversion"/>
  </si>
  <si>
    <t>downstream</t>
    <phoneticPr fontId="3" type="noConversion"/>
  </si>
  <si>
    <t>https://ijglobal.com/data/transaction/26400/acquisition-of-slovak-gas-holding</t>
  </si>
  <si>
    <t>Slovak Gas Holding Acquisition Refinancing 2014</t>
  </si>
  <si>
    <t>$800 million credit facility, which can be expanded to $1 billion in the future. Formed in December 2012, Blue Racer Midstream LLC is a joint venture between Caiman Energy II, LLC and Dominion Resources dedicated to providing Utica Shale producers with midstream servicesTogether with the private equity commitment from Caiman and the midstream assets contributed by Dominion, the credit facility supports the execution of Blue Racer’s plan to develop midstream assets in the Utica Shale over the next two to three years, including natural gas gathering, processing, fractionation and NGL transportation. Dominion transferred ownership of the Natrium Natural Gas Processing and Fractionation Plant to Blue Racer on Aug. 9, 2013. With cryogenic processing capacity of 200 million cubic feet per day (MMcf/d) already online, Natrium is the first large-scale processing plant to serve rich-gas production in the Utica Shale. Blue Racer has already started construction of a second 200 MMcf/d cryogenic processing plant, Natrium II, which will bring the facility’s total processing capacity to 400 MMcf/d</t>
    <phoneticPr fontId="3" type="noConversion"/>
  </si>
  <si>
    <t>https://ijglobal.com/data/transaction/27833/blue-racer-midstream-credit-facility-2013</t>
  </si>
  <si>
    <t>St Clair Energy Centre Refinancing 2013</t>
  </si>
  <si>
    <t>Canada</t>
  </si>
  <si>
    <t>Acquisition of Transports Infrastructures Gaz France - TIGF natural gas network and storage unit in France. TIGF operates a gas network and two underground natural gas storage facilities, at Lussagnet and Izaute. They help supply natural gas to the transport and distribution grids in the far southwest, as well as part of Spain and the rest of France. In 2010, these two structures accounted for roughly 22 per cent of French underground natural gas storage capacity. TIGF is just one of a number of major assets that Total is looking to divest as it attempts to shore up its balance sheet.</t>
    <phoneticPr fontId="3" type="noConversion"/>
  </si>
  <si>
    <t>https://ijglobal.com/data/transaction/25912/acquisition-of-totals-tigf-natural-gas-network</t>
  </si>
  <si>
    <t>Blue Racer Midstream Credit Facility 2013</t>
  </si>
  <si>
    <t>Refinancing the St. Clair Energy Centre a 584 MW combined cycle, natural gas - fired energy generation facility in southern Ontario. St. Clair Energy Centre is located near the town of Sarnia, approximately seventy miles northeast of Detroit, Michigan. St. Clair is jointly owned by affiliates of Invenergy and Stark Investments. The facility is operated and maintained by Invenergy Services Canada ULC, an affiliate of Invenergy. St Clair Energy Centre went commercial in March 2009 and is connected to the Hydro One system.</t>
    <phoneticPr fontId="3" type="noConversion"/>
  </si>
  <si>
    <t>http://www.ijonline.com/data/transaction/27884/584-mw-st-clair-energy-centre-refinancing-2013</t>
  </si>
  <si>
    <t>Perenco RBL Refinancing 2013</t>
  </si>
  <si>
    <t>Global</t>
  </si>
  <si>
    <t>Perenco is a privately owned independent E&amp;P oil &amp; gas company. The facility leverages Perenco's interests in producing assets spread over 9 countries located in Africa, Asia, UK &amp; Middle East. The facility includes two tranches: a first cash flow based loan tranche, where the available amount is determined by reference to the company's certified reserves and a second tranche dedicated to L/Cs related to decommissioning obligations in the UK. 14 banks supported Perenco in this transaction.</t>
    <phoneticPr fontId="3" type="noConversion"/>
  </si>
  <si>
    <t>https://ijglobal.com/data/transaction/28033/perenco-rbl-refinancing-2013</t>
  </si>
  <si>
    <t>Fluxys gas transmission refinancing 2013</t>
  </si>
  <si>
    <t>Europe</t>
    <phoneticPr fontId="3" type="noConversion"/>
  </si>
  <si>
    <t>Refinance of bridge loan and development funding. Premier Oil is a FTSE250 international oil and gas exploration and production company.</t>
    <phoneticPr fontId="3" type="noConversion"/>
  </si>
  <si>
    <t>https://ijglobal.com/data/transaction/28200/premier-oil-refinancing-2013</t>
  </si>
  <si>
    <t>Gazprom Neft Extra Facility 2013</t>
  </si>
  <si>
    <t>Russia</t>
  </si>
  <si>
    <t>US$2150m corporate facility for Gazprom neft. Funds are provided on an unsecured basis and will be used for general corporate purposes.</t>
    <phoneticPr fontId="3" type="noConversion"/>
  </si>
  <si>
    <t>Dana Petroleum Plc Refinancing 2013</t>
  </si>
  <si>
    <t>"Fluxys has secured its short-term funding needs at group level by renewing its existing credit facility through an agreement with a club of 5 leading international banks for a 3-year, ‚Ç¨500 million syndicated revolving credit line (‚Äòclub deal‚Äô) .This brings the group‚Äôs total undrawn credit facilities to an amount of ‚Ç¨600 million. The credit facilities enable the group to move swiftly on investment opportunities and acquisition projects: they provide at pre-agreed conditions direct and certain access to liquidities to bridge the implementation of long-term financings. The existing club deal of 400M‚Ç¨ would have come to maturity in May 2014. Fluxys took advantage of the current favourable market conditions to anticipate its renewal at attractive prices and conditions. Fluxys is a Belgium-based company, mainly acting as a natural gas transmission system operator."</t>
    <phoneticPr fontId="3" type="noConversion"/>
  </si>
  <si>
    <t>http://www.ijonline.com/data/transaction/28072/fluxys-gas-transmission-refinancing-2013</t>
  </si>
  <si>
    <t>Gazprom Neft Extra Facility</t>
  </si>
  <si>
    <t>Russian Federation</t>
  </si>
  <si>
    <t>Calpine Development Portfolio Refinancing 2014</t>
  </si>
  <si>
    <t>The refinancing will be used for the development of a Calpine Development Holdings, the indirect holding company of seven electric power generation projects. The seven power subsidiaries are as follows: Otay Mesa (CA), Freeport (TX), Mankato (MN), Russell City (CA), Los Esteros (CA), York (PA) and Gilroy (CA).</t>
    <phoneticPr fontId="3" type="noConversion"/>
  </si>
  <si>
    <t>downstream</t>
    <phoneticPr fontId="3" type="noConversion"/>
  </si>
  <si>
    <t>http://www.ijonline.com/data/transaction/29525/calpine-development-portfolio-refinancing-2014</t>
  </si>
  <si>
    <t>Fieldwood Energy RBL 2014</t>
  </si>
  <si>
    <t>United States</t>
    <phoneticPr fontId="3" type="noConversion"/>
  </si>
  <si>
    <t>US$950m Reserve based lending for Fieldwood Energy. Fieldwood is a Houston based portfolio company of Riverstone Holdings LLC. Fieldwood is focused on the acquisition and development of conventional oil and gas assets on the Gulf Coast and Gulf of Mexico</t>
    <phoneticPr fontId="3" type="noConversion"/>
  </si>
  <si>
    <t>https://ijglobal.com/data/transaction/32160/fieldwood-energy-rbl-2014</t>
  </si>
  <si>
    <t>Riverstone SandRidge Assets Acquisition Facility Increase 2014</t>
  </si>
  <si>
    <t>The proceeds will be used by the Spanish gas network operator, Redexis Gas to refinance its existing bank debt. Redexis Gas has priced a €650m ($893.85m) inaugural issue under its Euro medium-term note programme. The seven-year bond is Luxembourg-listed and carry a fixed annual coupon of 2.75%. Financial advisor is Chatham Financial Europe and legal advisors are Allen &amp; Overy and Clifford Chance. Redexis Gas provides piped propane gas to approximately 5,000 users and operates a total of 1,281Km natural gas transportation and 4,275km distribution networks in Spain.</t>
    <phoneticPr fontId="3" type="noConversion"/>
  </si>
  <si>
    <t>The proceeds will be used to refinance previous revolving credit facilities of Dana Petroleum. Dana Petroleum engages in the exploration, development, and production of oil and gas reserves. The company was founded in 1994 and is headquartered in Aberdeen, United Kingdom. It is a subsidiary of Korea National Oil Corporation.</t>
    <phoneticPr fontId="3" type="noConversion"/>
  </si>
  <si>
    <t>https://ijglobal.com/data/transaction/28232/dana-petroleum-plc-refinancing-2013</t>
  </si>
  <si>
    <t>Sheridan II Portfolio Refinancing</t>
  </si>
  <si>
    <t>The refinancing will be used by the Spanish gas network operator Redexis Gas for general corporate purposes. The debt package consists of a €250m ($347.76m) revolving capex facility and a €50m ($69.55m) revolving credit facility. BBVA, BNP Paribas, Credit Agricole, ING Group, Royal Bank of Scotland, Caixabank, Popular Bank and Mediobanca Banking Group have provided the debt. Redexis Gas provides piped propane gas to approximately 5,000 users and operates a total of 1,281Km natural gas transportation and 4,275KM distribution networks in Spain.</t>
    <phoneticPr fontId="3" type="noConversion"/>
  </si>
  <si>
    <t>https://ijglobal.com/data/transaction/32697/redexis-gas-corporate-refinancing-2014</t>
  </si>
  <si>
    <t>Redexis Corporate Bond Refinancing 2014</t>
  </si>
  <si>
    <t>Redexis Gas Corporate Refinancing 2014</t>
  </si>
  <si>
    <t>Spain</t>
  </si>
  <si>
    <t>The proceeds are used to refinance the debt facility in connection with a portfolio of mature oil and gas producing properties in onshore basins in Texas and Wyoming.</t>
    <phoneticPr fontId="3" type="noConversion"/>
  </si>
  <si>
    <t>https://ijglobal.com/data/transaction/28297/sheridan-ii-portfolio-refinancing</t>
  </si>
  <si>
    <t>SUEK Corporate Facility Refinancing</t>
  </si>
  <si>
    <t>The facility will be used for refinancing of existing debt and general corporate purposes. SUEK Siberian Coal Energy Company is the leading Russian coal company, the largest producer and supplier of coal in the nation, and one of the major global players in its sector.</t>
    <phoneticPr fontId="3" type="noConversion"/>
  </si>
  <si>
    <t>coal</t>
  </si>
  <si>
    <t>https://ijglobal.com/data/transaction/28486/suek-corporate-facility-refinancing</t>
  </si>
  <si>
    <t>RBL facility to refinance an existing $500m three year corporate facility. The new facility includes $750m a three year contigent facility designed to capture value from the groups assets not leveraged under its reserved base facility. Mandated Lead Arrangers are ABN AMRO Bank N.V., Bank of America Merrill Lynch, Barclays Bank, BNP Paribas, CBA (Commonwealth Bank of Australia), Citi Group, Credit Agricole, Deutsche Bank, DNB ASA, FirstRand Bank, HSBC, ING Bank, JP Morgan Chase Bank, Lloyds Banking Group, Natixis, Nedbank Capital, RBS (Royal Bank of Scotland), SMBC (Sumitomo Mitsui Banking Corp), Societe Generale, Standard Bank, UniCredit.</t>
    <phoneticPr fontId="3" type="noConversion"/>
  </si>
  <si>
    <t>United States</t>
    <phoneticPr fontId="3" type="noConversion"/>
  </si>
  <si>
    <t>Gazprom Neft Extra Facility 2013 - support for Gazprom</t>
    <phoneticPr fontId="3" type="noConversion"/>
  </si>
  <si>
    <t>https://ijglobal.com/data/transaction/28487/gazprom-neft-extra-facility-2013</t>
  </si>
  <si>
    <t>Premier Oil Refinancing 2013</t>
  </si>
  <si>
    <t>Refinancing of the Current W &amp; G debt by setting-up a new and unsecured corporate credit facility of EUR 1.650bn for WIGA Transport Group, WIGA Transport Beteiligungs (WIGA) is a joint venture of Wintershall Holding GmbH, Kassel, and OAO GAZPROM, Moscow. W &amp; G’s subsidiary companies are established players on the German and European gas market.</t>
  </si>
  <si>
    <t>https://ijglobal.com/data/transaction/31040/wiga-refinancing</t>
  </si>
  <si>
    <t>https://ijglobal.com/data/transaction/29606/redexis-corporate-bond-refinancing-2014</t>
  </si>
  <si>
    <t>Tullow Oil Reserved Base Facility Refinancing 2014</t>
    <phoneticPr fontId="3" type="noConversion"/>
  </si>
  <si>
    <t>The financing will be used for the acquisition of Ohio Gathering's midstream infrastructure and natural gas gathering system in Ohio, USA. Summit Midstream Partners has acquired the midstream infrastructure and natural gas gathering system as the part of a definitive agreement with Blackhawk Midstream. Midstream Partners signed the agreement to acquire its equity interest in Ohio Gathering Company LLC on 20 December 2013. Deutsche Bank and Royal Bank of Canada together with a group of local lenders have provided $400m 3 year term loan. Vinson &amp; Elkins provided legal advice and Barclays Capital provided financial advice to Summit Midstream on the deal.</t>
    <phoneticPr fontId="3" type="noConversion"/>
  </si>
  <si>
    <t>https://ijglobal.com/data/transaction/31482/summit-midstream-ohio-gathering-acquisition-2014</t>
  </si>
  <si>
    <t>APT Pipeline refinancing 2014</t>
  </si>
  <si>
    <t>Australia</t>
    <phoneticPr fontId="3" type="noConversion"/>
  </si>
  <si>
    <t>The proceeds will be used by Riverstone Holdings LLC to increase its senior secured revolving borrowing base facility from $1,200m to $1,375m. The $175m increase in the borrowing base will be used to support the acquisition of SandRidge's assets by Fieldwood, a portfolio company of Riverstone Holdings. A group of 21 banks has funded the deal. Fieldwood is based in Houston and focuses on the development and acquisition of oil and gas assets in United States.</t>
    <phoneticPr fontId="3" type="noConversion"/>
  </si>
  <si>
    <t>https://ijglobal.com/data/transaction/33104/riverstone-sandridge-assets-acquisition-facility-increase-2014</t>
  </si>
  <si>
    <t>The financing will be used for WIGA Transport Beteiligungs-GmbH &amp; Co. KG, a 50.02% subsidiary of BASF SE and 49.98% subsidiary of Gazprom Germania GmbH in Germany. 14 mandated lead arrangers are providing $2244.60m term loan for 5 years.</t>
    <phoneticPr fontId="3" type="noConversion"/>
  </si>
  <si>
    <t>https://ijglobal.com/data/transaction/30954/wiga-transport-beteiligungs-corporate-facility-2014</t>
  </si>
  <si>
    <t>Summit Midstream Ohio Gathering Acquisition 2014</t>
  </si>
  <si>
    <t>The transaction is for the development of the Cameron LNG export facility that will be based in Hackberry, Louisiana, USA. Sempra, GDF Suez, Mitsubishi, Mitsui and Nippon Yusen Kabushiki Kaisha are the sponsors for the project. The sponsors have lined up $7.7bn in debt across three tranches. Thirty-one lenders are participating across the three tranches. Japan Bank for International Cooperation (JBIC) has also approved a $2.5bn direct loan. In addition to this, a seven-year $350m letter of credit is provided by SMBC. The annual debt service coverage ratio is 1.68. The loan life debt service coverage ratio is 1.95.</t>
    <phoneticPr fontId="3" type="noConversion"/>
  </si>
  <si>
    <t>midstream</t>
    <phoneticPr fontId="3" type="noConversion"/>
  </si>
  <si>
    <t>https://ijglobal.com/data/transaction/26358/cameron-lng</t>
  </si>
  <si>
    <t>Tullow Exploration Refinancing 2014</t>
  </si>
  <si>
    <t>Norway</t>
    <phoneticPr fontId="3" type="noConversion"/>
  </si>
  <si>
    <t>https://ijglobal.com/data/transaction/30798/tullow-oil-reserved-base-facility-refinancing-2014</t>
  </si>
  <si>
    <t>Energy XXI RCF Facility Increase 2014</t>
    <phoneticPr fontId="3" type="noConversion"/>
  </si>
  <si>
    <t>The proceeds will be used by Energy XXI (Bermuda) to increase its senior secured revolving borrowing base facility from $1087.5m to $1200m. The $112.5m increase has been funded by a group of 23 banks. Energy XXI is engaged in upstream oil and gas activities in the US Gulf Coast.</t>
    <phoneticPr fontId="3" type="noConversion"/>
  </si>
  <si>
    <t>https://ijglobal.com/data/transaction/33064/energy-xxi-rcf-facility-increase-2014</t>
  </si>
  <si>
    <t>WIGA Refinancing</t>
  </si>
  <si>
    <t>Germany</t>
  </si>
  <si>
    <t>APA Group throught its subsidiary APT Pipeline has successfully executed a new syndicated bank facility agreement, with three new facilities totalling A$1.25 billion. A refinanced two existing facilities of $483 million each, which were due to mature in November 2014 and November 2015. The three new facilities of A$400 million, A$425 million and A$425 million have terms of 2.25 years, 3.25 years and 5.25 years, maturing in September 2016, 2017 and 2019 respectively. The refinanced syndicated and bilateral facilities will be used for general and working corporate purposes.</t>
    <phoneticPr fontId="3" type="noConversion"/>
  </si>
  <si>
    <t>https://ijglobal.com/data/transaction/33028/apt-pipeline-refinancing-2014</t>
  </si>
  <si>
    <t>Cameron LNG</t>
  </si>
  <si>
    <t>The financing will be used to help fund NGL Energy Partners' acquisition of US oil terminal, storage and transportation operator TransMontaigne. NGL Energy Partners has priced a $400m bond issue for this acquisition. The proceeds of the 5.125% five-year bonds, increased from a planned $350m, complement the $338m in proceeds from an issue of new partnership units earlier in June 2014.</t>
    <phoneticPr fontId="3" type="noConversion"/>
  </si>
  <si>
    <t>downstream</t>
  </si>
  <si>
    <t>https://ijglobal.com/data/transaction/30831/ngl-energy-partners-bond-issue-2014</t>
  </si>
  <si>
    <t>North West Redwater Refinery Project</t>
  </si>
  <si>
    <t>Energy XXI EPL Acquisition Facility Increase 2014</t>
  </si>
  <si>
    <t>The proceeds will be used by Energy XXI (Bermuda) Limited to increase its senior secured revolving borrowing base facility from $1,200m to $1,500m. The $1,200m facility was signed in May 2014 for the acquisition of EPL Oil &amp; Gas by Energy XXI (Bermuda). A group of 26 banks funded the $300m increase in the borrowing base. Energy XXI (Bermuda) is engaged in upstream oil and gas activities in the US Gulf Coast.</t>
    <phoneticPr fontId="3" type="noConversion"/>
  </si>
  <si>
    <t>https://ijglobal.com/data/transaction/33102/energy-xxi-epl-acquisition-facility-increase-2014</t>
  </si>
  <si>
    <t>WIGA Transport Beteiligungs Corporate Facility 2014</t>
  </si>
  <si>
    <t>Germany</t>
    <phoneticPr fontId="3" type="noConversion"/>
  </si>
  <si>
    <t>The financing will be used for the acquisition of 50% stake in the 705MW Newark Energy Center, a gas-fired combined-cycle project located in Newark, New Jersey, USA. Energy Investors Funds (EIF), which had owned a 50% stake in the Newark project, has bought Hess’ 50% interest in the project for $578m and now owns all of Newark Energy Center. The $578m amount will also be used to support the construction and operation of the project. The debt consists of a $520m term loan, a $43m letter of credit and a $15m revolving credit facility. Union Bank, GE Energy Financial Services, Credit Agricole, CIT, ING, Natixis and NordLB are the mandated lead arrangers for the debt. A total of seven other banks also participated in the deal. Shearman &amp; Sterling and Milbank are the legal advisors.</t>
    <phoneticPr fontId="3" type="noConversion"/>
  </si>
  <si>
    <t>https://ijglobal.com/data/transaction/30064/acquisition-of-50-stake-in-newark-energy-center-power-plant</t>
  </si>
  <si>
    <t>NGL Energy Partners Bond Issue 2014</t>
  </si>
  <si>
    <t>The financing will be used as an additional facility for the 720MW Marsh Landing Generating. Marsh Landing Generating Station is a natural gas--fueled, peaking facility located near Antioch, CA, in the San Francisco Bay Area. The plant provides 720 megawatts (MW) of flexible electrical generation to the California grid that can supply up to 650,000 homes. The $650.74m financing consists of two term loans, a Letter of Credit facility and a Debt Service Reserve Facility.</t>
    <phoneticPr fontId="3" type="noConversion"/>
  </si>
  <si>
    <t>The refinancing will be used to support the exploration work and appraisal requirements by Tullow oil and its oil &amp; gas licences at 13 different blocks located on the Norwegian Continental Shelf. A consortium of sixteen lenders provided a $500m NOK denominated revolver. Wiersholm, Mellbye &amp; Bech and Allen &amp; Overy acted as the legal advisor on the deal.</t>
    <phoneticPr fontId="3" type="noConversion"/>
  </si>
  <si>
    <t>https://ijglobal.com/data/transaction/30898/tullow-exploration-refinancing-2014</t>
  </si>
  <si>
    <t>Acquisition of 50% Stake in Newark Energy Center Power Plant</t>
  </si>
  <si>
    <t>https://ijglobal.com/data/transaction/31062/720mw-marsh-landing-generating-additional-facility</t>
  </si>
  <si>
    <t>Southern Lights Pipeline Additional Facility 2014</t>
  </si>
  <si>
    <t>The financing will be used to support the project debt signed in 2008 for the Southern Lights Pipeline. The sponsor of the project is Enbridge Inc. RBC Capital Markets, Societe Generale, BNP Paribas, Mizuho, RBS, CIBC, Scotiabank and Mitsubishi UFJ Financial Group provided a $3.2bn bond, a $1.06bn bond and a $23.29m revolver. Vinson &amp; Elkins acted as the legal advisor to the sponsor and Latham &amp; Watkins acted as financial advisor to the lenders. Blake Cassels and Graydon &amp; Dentons acted as legal advisor. Southern Lights Pipeline carries diluent through 1,588 miles of pipeline originating near Chicago and terminating in Edmonton, Alberta, Canada.</t>
    <phoneticPr fontId="3" type="noConversion"/>
  </si>
  <si>
    <t>https://ijglobal.com/data/transaction/31021/north-west-redwater-refinery-project</t>
  </si>
  <si>
    <t>Premier Oil Plc Corporate Facility Refinancing 2014</t>
  </si>
  <si>
    <t>The financing will be used to refinance the existing $1.1bn facility and can be used for both L/C's and corporate purposes by Premier Oil Plc. The facility is also used for the development of oil and gas fields and for L/C’s for decommissioning obligations. The debt financing of $2500m is provided by a consortium of 25 banks led by ING and Barclays acting as the Facility Agent.</t>
    <phoneticPr fontId="3" type="noConversion"/>
  </si>
  <si>
    <t>https://ijglobal.com/data/transaction/32131/premier-oil-plc-corporate-facility-refinancing-2014</t>
  </si>
  <si>
    <t>720MW Marsh Landing Generating Additional Facility</t>
  </si>
  <si>
    <t>The financing will be used for the development of the North West Redwater Refinery Project in Alberta, Canada. The debt comprises of a $465.38m series A secured bond, a $465.38m series B secured bond, and a $3.26bn revolver provided by a consortium of eighteen banks. Canadian Natural Resources and North West Upgrading are the sponsors for the project. North West Redwater Partnership is formed for the purpose of constructing and operating the project in the Alberta Industrial Heartland Area.</t>
    <phoneticPr fontId="3" type="noConversion"/>
  </si>
  <si>
    <t>Umbilicals (JDR Cable Systems Ltd)</t>
  </si>
  <si>
    <t>BP Raffinaderji Rotterdam</t>
  </si>
  <si>
    <t>Showers (Hughes Safety Showers Ltd)</t>
  </si>
  <si>
    <t>Oil and gas equipment for Vinje Industri</t>
  </si>
  <si>
    <t>Norway</t>
  </si>
  <si>
    <t>High pressure hoses (Techflow Flexibles)</t>
  </si>
  <si>
    <t>Offshore oil and gas equipment for PPL Shipyard</t>
  </si>
  <si>
    <t>Singapore</t>
  </si>
  <si>
    <t>Offshore oil and gas equipment for Petrofac Offshore Capital Projects</t>
  </si>
  <si>
    <t>Pumps (Cathodic Protection Co Ltd)</t>
  </si>
  <si>
    <t>The proceeds will be used to refinance the acquisition of Net4Gas by Allianz and Borealis Infrastructure from RWE. The deal includes $1.48bn of unsecured notes and bank loans together with a $536m shareholder loan. The borrowers have raised around $952m in bonds as part of the refinancing. The Euro denominated bonds are split into two types. The first of $214.40m has a 12-year maturity and is priced 195bp above mid-swaps with a coupon of 3.5% while the second $402m of notes has a seven-year maturity and is priced 165bp above mid-swaps with a coupon at 2.5%. The Czech koruna tranche of $336m has a maturity of 6.5 years with pricing of 150bp over mid-swaps and a coupon at 2.25%. The deal also includes a five-year $134m revolving credit facility and a $402.01m term loan. BNP Paribas is the financial advisor to the sponsors. Linklaters and Kinstellar are the legal advisors to the sponsors. Allen &amp; Overy acted as the legal advisor to the lenders on the deal. Net4Gas owns and operates a network of more than 3,600km of high-pressure pipelines that supply to both the Czech domestic market and transit natural gas through the Czech Republic to markets across Europe. The company transports around 35 billion cubic meters of gas each year.</t>
    <phoneticPr fontId="3" type="noConversion"/>
  </si>
  <si>
    <t>https://ijglobal.com/data/transaction/30907/net4gas-asset-acquisition-refinancing-2014</t>
  </si>
  <si>
    <t>Acquisition of Devon Energy's Non-core Gas Assets</t>
  </si>
  <si>
    <t>https://ijglobal.com/data/transaction/31338/southern-lights-pipeline-additional-facility-2014</t>
  </si>
  <si>
    <t>Net4Gas Asset Acquisition</t>
  </si>
  <si>
    <t>Czech Republic</t>
  </si>
  <si>
    <t>Oil and gas equipment for McDermott Middle East</t>
  </si>
  <si>
    <t>Sub Sea intervention valves umbilicals (JDR Cable Systems Ltd)</t>
  </si>
  <si>
    <t>Oil and gas equipment for ENPPI</t>
  </si>
  <si>
    <t>Egypt</t>
  </si>
  <si>
    <t>Water separation monitoring and control data (Jorin Ltd)</t>
  </si>
  <si>
    <t>Oil refinery equipment for Hyundai Heavy Industries</t>
  </si>
  <si>
    <t>Cyclone seperators (Van Tongeren International Ltd)</t>
  </si>
  <si>
    <t>Oil and gas equipment for Galfar Engineering and Contracting</t>
  </si>
  <si>
    <t>Oman</t>
  </si>
  <si>
    <t>Offshore oil and gas equipment for Keppel Fels</t>
  </si>
  <si>
    <t>Offshore oil and gas equipment for SBI Offshore</t>
  </si>
  <si>
    <t>Ichthys LNG</t>
  </si>
  <si>
    <t>Oil and gas equipment for CNOOC</t>
  </si>
  <si>
    <t>Stern offloading system (Techflow Marine Ltd)</t>
  </si>
  <si>
    <t>Offshore oil and gas equipment for Samsung Heavy Industries</t>
  </si>
  <si>
    <t>Offshore heat shielding system (Locker Heatshielding Ltd)</t>
  </si>
  <si>
    <t>The financing will be used for the development of Freeport LNG Expansion's second train, located 70 miles south of Houston, Texas. Sponsors have closed the $5.34bn financing for the project which comprised of $1.32bn equity from IFM Investors, as well as $4.02bn debt financing from a consortium of lenders. The debt package comprises of a $3.97bn term loan and $50m working capital facility. The debt for the second train is structured as a seven-year mini-perm. BP Energy has a 20-year liquefaction tolling agreement for the train. Credit Suisse is Freeport’s global syndication coordinator for the second train. Macquarie and Credit Suisse are joint equity placement agents for the second train.</t>
    <phoneticPr fontId="3" type="noConversion"/>
  </si>
  <si>
    <t>https://ijglobal.com/data/transaction/28472/freeport-lng-train-2</t>
  </si>
  <si>
    <t>Gunvor Revolving Credit Facility 2014</t>
  </si>
  <si>
    <t>Cyclone seperators for PCK Raffinerie oil refinery (Van Tongeren International Ltd)</t>
  </si>
  <si>
    <t>Offshore oil and gas equipment</t>
  </si>
  <si>
    <t>Hydraulic and chemic distribution connection equipment (ViperSubsea LLP)</t>
  </si>
  <si>
    <t>Oil and Gas Capacity Building Project</t>
  </si>
  <si>
    <t>Ghana</t>
  </si>
  <si>
    <t>Drilling fluid laboratory equipment (Eduteq Ltd)</t>
  </si>
  <si>
    <t>Offshore oil and gas equipment for Hyundai Heavy Industries</t>
  </si>
  <si>
    <t>Republic of Korea</t>
  </si>
  <si>
    <t>Subsea Concrete mattresses (Pipeshield International Ltd)</t>
    <phoneticPr fontId="3" type="noConversion"/>
  </si>
  <si>
    <t>Handling systems specialist, Caley Ocean Systems has been awarded a contract by Subsea 7 to design, manufacture and supply a deepwater lowering system (DLS). The DLS will initially be deployed by Subsea 7 on the Chevron-operated Gorgon project, located off the northwest coast of Western Australia, to lower subsea structures weighing up to 950Te in water depths in excess of 1,300m. The DLS comprises two double drum traction and storage winches and fully redundant controls, all mounted on an integrated grillage structure for rapid mobilisation onto the pipelay and heavy lift vessel Sapura 3000. The system will connect to a deepwater lowering beam (DLB) and connector. Each set of winches has its own dedicated hydraulic power unit for optimum control.</t>
    <phoneticPr fontId="3" type="noConversion"/>
  </si>
  <si>
    <t>The financing will be used to support the acquisition of Devon Energy's non-core US gas assets by LINN Energy. Linn Energy acquired properties for consideration of $2.3bn. The acquisition was partially financed through a 12 month secured Acquisition Bridge Loan. The Loan was secured against the acquired assets, with no recourse back to Linn Energy. The $1.3bn bridge financing with Scotiabank as the lead arranger. Barclays, RBC Capital Markets and Wells Fargo are also participating in the bridge loan along with 29 other lenders. The purchase and sale agreement was signed on June 27, 2014. The Devon assets are located in five operating areas in Utah, Wyoming, Kansas, Oklahoma, Texas and Louisiana, and in some instances are located near existing Linn operations. They comprise 275 million cubic feet equivalent (cfe) per day of gas production, 896,000 net acres, 3,880 wells and reserves of as much as 1.5 trillion cfe.</t>
    <phoneticPr fontId="3" type="noConversion"/>
  </si>
  <si>
    <t>https://ijglobal.com/data/transaction/30884/acquisition-of-devon-energys-non-core-gas-assets</t>
  </si>
  <si>
    <t>Faroe Exploration Revolving Facility 2014</t>
  </si>
  <si>
    <t>Strainers (Barton Firtop Engineering Co Ltd)</t>
  </si>
  <si>
    <t>Oil and gas equipment for Chevron Australia</t>
  </si>
  <si>
    <t>https://www.gov.uk/government/uploads/system/uploads/attachment_data/file/436270/10417-TSO-UKEF_-Annual_Report_and_Accounts_2014-15-ACCESSIBLE07__2_.pdf http://www.hampco.com/</t>
    <phoneticPr fontId="3" type="noConversion"/>
  </si>
  <si>
    <t>Sapura Diamante</t>
    <phoneticPr fontId="3" type="noConversion"/>
  </si>
  <si>
    <t>Pipe laying vessels (IHC Engineering Business Ltd) - The SAPURA DIAMANTE is the first in a series of five fully integrated offshore vessels, which will be completely designed, engineered and built by IHC Merwede. After delivery, the SAPURA DIAMANTE will be used to develop deep-sea oilfields of up to 2,500 metres in Brazilian waters on behalf of Petrobras.</t>
    <phoneticPr fontId="3" type="noConversion"/>
  </si>
  <si>
    <t>Oil and gas equipment for Aker Solutions</t>
  </si>
  <si>
    <t>Yemen LNG facility</t>
  </si>
  <si>
    <t>Yemen</t>
  </si>
  <si>
    <t>Fuel tanks (Ledbury Welding and Engineering Ltd)</t>
  </si>
  <si>
    <t>Oil and gas equipment for Bechtel</t>
  </si>
  <si>
    <t>Filtration equipment (Vee Bee Filtration UK Ltd)</t>
  </si>
  <si>
    <t>The proceeds will be used to refinance the existing debt facility for the development of Faroe Petroleum's Norwegian exploration and appraisal asset portfolio consisting of approximately ten licenses located in Norway. It will be used for the increase and extension of existing facility to NOK1500m. The revolving facility of NOK600m ($94.5m) with a tenor of 3.27 years is provided by the consortium of lenders comprising seven banks, with BNP Paribas acting as the facility agent. The equity investment amounts to $33m provided by Faroe Petroleum. Watson Farley &amp; Williams advised the lenders on the deal.</t>
    <phoneticPr fontId="3" type="noConversion"/>
  </si>
  <si>
    <t>https://ijglobal.com/data/transaction/32438/faroe-exploration-revolving-facility-2014</t>
  </si>
  <si>
    <t>Freeport LNG Train 2</t>
  </si>
  <si>
    <t>Safety showers for oil and gas equipment (Hughes Safety Showers Ltd)</t>
  </si>
  <si>
    <t>upstream</t>
    <phoneticPr fontId="3" type="noConversion"/>
  </si>
  <si>
    <t>https://www.gov.uk/government/uploads/system/uploads/attachment_data/file/326210/10132-UKEF-Annual_Report_and_Accounts_2013-14_ACCESSIBLE16__3_.pdf</t>
  </si>
  <si>
    <t>Oil and gas equipment for ConocoPhillips</t>
  </si>
  <si>
    <t>Riser umbilical and infield umbilical (JDR Cable Systems)</t>
  </si>
  <si>
    <t>PCK Raffinerie GmbH</t>
  </si>
  <si>
    <t>https://www.gov.uk/government/uploads/system/uploads/attachment_data/file/436270/10417-TSO-UKEF_-Annual_Report_and_Accounts_2014-15-ACCESSIBLE07__2_.pdf</t>
  </si>
  <si>
    <t>ECMS Interface stations (Baldwin and Francis Ltd)</t>
    <phoneticPr fontId="3" type="noConversion"/>
  </si>
  <si>
    <t>Oil and gas equipment for CNOOC Energy and Technology Services</t>
    <phoneticPr fontId="3" type="noConversion"/>
  </si>
  <si>
    <t>Stern offloading system (Techflow Marine Ltd) - Techflow Marine provides a range of specialist products to the Offshore Oil &amp; Gas and Marine industries.</t>
    <phoneticPr fontId="3" type="noConversion"/>
  </si>
  <si>
    <t>https://www.gov.uk/government/uploads/system/uploads/attachment_data/file/436270/10417-TSO-UKEF_-Annual_Report_and_Accounts_2014-15-ACCESSIBLE07__2_.pdf http://www.techflowmarine.com/</t>
    <phoneticPr fontId="3" type="noConversion"/>
  </si>
  <si>
    <t>Oil and gas equipment for Ministry of Energy and Petroleum</t>
    <phoneticPr fontId="3" type="noConversion"/>
  </si>
  <si>
    <t>Drilling fluid laboratory equipment (Eduteq Ltd)</t>
    <phoneticPr fontId="3" type="noConversion"/>
  </si>
  <si>
    <t>Burners for KT Kinetics Technology SA</t>
    <phoneticPr fontId="3" type="noConversion"/>
  </si>
  <si>
    <t>The financing will be used to fund the general corporate and working capital requirements of Gunvor Group Ltd. The facility is launched by Gunvor Group to support the growth strategy of Gunvor International B.V. and Gunvor SA and to replace the maturing tranche of revolving credit facility signed on 6 December 2013. A consortium of 31 banks has provided the debt financing of $1.09bn. The debt comprises of a $1,005m 1 year revolving credit facility and a $85m 3 year revolving credit facility. The facility was initially launched at $900m in Oct 2014. Gunvor's industrial assets includes various oil &amp; gas pilepines, oil refineries, coal mines and gas fields.</t>
    <phoneticPr fontId="3" type="noConversion"/>
  </si>
  <si>
    <t>https://ijglobal.com/data/transaction/32521/gunvor-revolving-credit-facility-2014</t>
  </si>
  <si>
    <t>Net4Gas Asset Acquisition Refinancing 2014</t>
  </si>
  <si>
    <t>Cables for CNOOC Energy Technology &amp; Services (JDR Cable Systems)</t>
  </si>
  <si>
    <t>Hellenic Petroleum refinery</t>
  </si>
  <si>
    <t>Greece</t>
  </si>
  <si>
    <t>Offshore oil and gas equipment for Van Oord Ship Management</t>
  </si>
  <si>
    <t>Tomography system (Industrial Tomography Systems Ltd)</t>
  </si>
  <si>
    <t>upstream</t>
    <phoneticPr fontId="3" type="noConversion"/>
  </si>
  <si>
    <t>Oil and gas service equipment for TR Abu Dhabi</t>
  </si>
  <si>
    <t>Compression platform (DPS (Bristol) Ltd)</t>
  </si>
  <si>
    <t>Oil and gas equipment for Total E&amp;P Nederland</t>
  </si>
  <si>
    <t>Water purification system (Salt Separation Services Ltd)</t>
  </si>
  <si>
    <t>Offshore oil and gas equipment for Petrofac International Ltd</t>
  </si>
  <si>
    <t>Flare booms (Hampco Ltd) - Hampco is a multi-discipline provider of technical services and equipment to the international drilling industry since 1988.</t>
    <phoneticPr fontId="3" type="noConversion"/>
  </si>
  <si>
    <t xml:space="preserve">Electric Hoists (PCT Group Sales) Saipem is one of the global leaders in the Engineering &amp; Construction and Drilling businesses, with a strong bias towards oil &amp; gas-related activities in remote areas and deep-waters. </t>
    <phoneticPr fontId="3" type="noConversion"/>
  </si>
  <si>
    <t>https://www.gov.uk/government/uploads/system/uploads/attachment_data/file/436270/10417-TSO-UKEF_-Annual_Report_and_Accounts_2014-15-ACCESSIBLE07__2_.pdf http://www.saipem.com/sites/SAIPEM_en_IT/area/COMPANY-saipem-company.page</t>
    <phoneticPr fontId="3" type="noConversion"/>
  </si>
  <si>
    <t>Republic of Korea</t>
    <phoneticPr fontId="3" type="noConversion"/>
  </si>
  <si>
    <t>Support to Petrobras for oil and gas exploration (Subsea 7 International Contracting Ltd)</t>
  </si>
  <si>
    <t>Oil and gas equipment for Saipem Energy Services</t>
  </si>
  <si>
    <t>Italy</t>
  </si>
  <si>
    <t>Offshore oil and gas equipment for Seadrill Offshore</t>
  </si>
  <si>
    <t>Offshore oil and gas equipment for Single Buoy Moorings Inc</t>
  </si>
  <si>
    <t>Switzerland</t>
  </si>
  <si>
    <t>Hydraulic and electrical slab plate (Flexible Engineered Solutions Ltd)</t>
  </si>
  <si>
    <t>Gorgon LNG</t>
  </si>
  <si>
    <t>The proceeds will be used to refinance the acquisition of Net4Gas by Allianz and Borealis Infrastructure from RWE. Net4Gas owns and operates a network of more than 3,600km of high-pressure pipelines that supply to both the Czech domestic market and transit natural gas through the Czech Republic to markets across Europe. The company transports around 35 billion cubic meters of gas each year.</t>
    <phoneticPr fontId="3" type="noConversion"/>
  </si>
  <si>
    <t>https://ijglobal.com/data/transaction/30907/net4gas-asset-acquisition-refinancing-2014</t>
    <phoneticPr fontId="3" type="noConversion"/>
  </si>
  <si>
    <t>UK Export Finance</t>
  </si>
  <si>
    <t>Oil and gas service equipment for National Petroleum Construction Co</t>
  </si>
  <si>
    <t>United Arab Emirates</t>
  </si>
  <si>
    <t>Strainers (Barton Firtop Engineering Co Ltd)</t>
    <phoneticPr fontId="3" type="noConversion"/>
  </si>
  <si>
    <t>OMV Petrom pipeline</t>
  </si>
  <si>
    <t>Risk software for oil pipeline (Pims of London Ltd)</t>
  </si>
  <si>
    <t>Jubail Refinery</t>
  </si>
  <si>
    <t>Saudi Arabia</t>
  </si>
  <si>
    <t>Oil and gas equipment for the National Petroleum Construction Company</t>
    <phoneticPr fontId="3" type="noConversion"/>
  </si>
  <si>
    <t>Abu Dhabi</t>
  </si>
  <si>
    <t>https://www.gov.uk/government/uploads/system/uploads/attachment_data/file/436270/10417-TSO-UKEF_-Annual_Report_and_Accounts_2014-15-ACCESSIBLE07__2_.pdf  http://www.peerlessxnet.com/documents/Hayward%20Tyler%20Pumps.doc</t>
    <phoneticPr fontId="3" type="noConversion"/>
  </si>
  <si>
    <t>National Oilwell Varco
AS</t>
    <phoneticPr fontId="3" type="noConversion"/>
  </si>
  <si>
    <t>High pressure hoses (Techflow Flexibles
Ltd)</t>
    <phoneticPr fontId="3" type="noConversion"/>
  </si>
  <si>
    <t>Aker MH AS</t>
    <phoneticPr fontId="3" type="noConversion"/>
  </si>
  <si>
    <t>Pakistan State Oil Co
Ltd</t>
    <phoneticPr fontId="3" type="noConversion"/>
  </si>
  <si>
    <t>Pakistan</t>
  </si>
  <si>
    <t>Aircraft refuelling vehicles (Flightline Support
Ltd)</t>
    <phoneticPr fontId="3" type="noConversion"/>
  </si>
  <si>
    <t>EAS International Inc</t>
    <phoneticPr fontId="3" type="noConversion"/>
  </si>
  <si>
    <t>Panama</t>
  </si>
  <si>
    <t>Saipem (Portugal) Comercio Maritimo</t>
    <phoneticPr fontId="3" type="noConversion"/>
  </si>
  <si>
    <t>Portugal</t>
  </si>
  <si>
    <t>Bend Stiffener containers (Flexible Engineered Solutions Ltd)</t>
    <phoneticPr fontId="3" type="noConversion"/>
  </si>
  <si>
    <t>Jurong Shipyard Pte</t>
  </si>
  <si>
    <t>https://www.gov.uk/government/uploads/system/uploads/attachment_data/file/436270/10417-TSO-UKEF_-Annual_Report_and_Accounts_2014-15-ACCESSIBLE07__2_.pdf  http://www.ihcmerwede.com/vessels/offshore/pipelaying-vessels/sapura-diamante/</t>
    <phoneticPr fontId="3" type="noConversion"/>
  </si>
  <si>
    <t>Sapura Topazio</t>
    <phoneticPr fontId="3" type="noConversion"/>
  </si>
  <si>
    <t>https://www.gov.uk/government/uploads/system/uploads/attachment_data/file/326210/10132-UKEF-Annual_Report_and_Accounts_2013-14_ACCESSIBLE16__3_.pdf, http://caley.co.uk/news/24/caley-develops-deepwater-lowering-system-for-subsea-7</t>
  </si>
  <si>
    <t>Oil and gas equipment for McDermott Australia</t>
  </si>
  <si>
    <t>Offshore fluid transfer system (Flexible Engineered Solutions Ltd)</t>
  </si>
  <si>
    <t>https://www.gov.uk/government/uploads/system/uploads/attachment_data/file/326210/10132-UKEF-Annual_Report_and_Accounts_2013-14_ACCESSIBLE16__3_.pdf, http://www.mcdermott.com/Pages/Home.aspx</t>
  </si>
  <si>
    <t>Oil and gas exploration</t>
  </si>
  <si>
    <t>Brazil</t>
  </si>
  <si>
    <t>Support to Petrobras for oil and gas exploration (Dolphin Drilling Ltd)</t>
  </si>
  <si>
    <t>Oil and gas equipment for Hyundai Heavy Industries</t>
  </si>
  <si>
    <t>Boilers for Dongfang Boiler Group</t>
    <phoneticPr fontId="3" type="noConversion"/>
  </si>
  <si>
    <t>Boiler Circulation pumps (Hayward Tyler Ltd)</t>
    <phoneticPr fontId="3" type="noConversion"/>
  </si>
  <si>
    <t>coal</t>
    <phoneticPr fontId="3" type="noConversion"/>
  </si>
  <si>
    <t>downstream</t>
    <phoneticPr fontId="3" type="noConversion"/>
  </si>
  <si>
    <t>Oil and gas equipment for Estaliero Enseada do Paraguaco SA</t>
    <phoneticPr fontId="3" type="noConversion"/>
  </si>
  <si>
    <t>To improve the management and transparency of natural resources in Libya and Tunisia. Supporting governments to manage resource wealth effectively for the benefit of its citizens; and building the capacity of civil society to hold government to account for the management of this sector. Energy policy and administration budget of 41% of  £4,806,000</t>
    <phoneticPr fontId="3" type="noConversion"/>
  </si>
  <si>
    <t>http://devtracker.dfid.gov.uk/projects/GB-1-203966/</t>
    <phoneticPr fontId="3" type="noConversion"/>
  </si>
  <si>
    <t>Big Results Now delivery programme Phase II [GB-1-204010]</t>
    <phoneticPr fontId="3" type="noConversion"/>
  </si>
  <si>
    <t>Tanzania</t>
    <phoneticPr fontId="3" type="noConversion"/>
  </si>
  <si>
    <t>Drag Chains (Metreel Ltd)</t>
    <phoneticPr fontId="3" type="noConversion"/>
  </si>
  <si>
    <t>Keppel Fels</t>
    <phoneticPr fontId="3" type="noConversion"/>
  </si>
  <si>
    <t>Lindel Pte</t>
  </si>
  <si>
    <t>Trolley hoists (PCT Group Sales Ltd)</t>
    <phoneticPr fontId="3" type="noConversion"/>
  </si>
  <si>
    <t>Modec Offshore
Production Systems</t>
    <phoneticPr fontId="3" type="noConversion"/>
  </si>
  <si>
    <t>Steel cast nodes (Vulcan SFM) - Vulcan SFM describes itself as a world leader in bespoke products for offshore oil and gas production environments</t>
    <phoneticPr fontId="3" type="noConversion"/>
  </si>
  <si>
    <t>Burners (Lanemark International) - Lanemark Combustion Engineering Ltd has become well known for the design, manufacture, supply, installation and commissioning of successful process heating burner systems which maximise process plant thermal efficiency and minimise both operating cost and impact on the environment.</t>
    <phoneticPr fontId="3" type="noConversion"/>
  </si>
  <si>
    <t>Fans and dampers (Wozair Ltd)</t>
  </si>
  <si>
    <t>Oil and gas equipment for Shell Iraq Petroleum Development BV</t>
  </si>
  <si>
    <t>Iraq</t>
  </si>
  <si>
    <t>Nghi Son Refinery</t>
  </si>
  <si>
    <t>Viet Nam</t>
  </si>
  <si>
    <t>Petroleum refining and petrochemical plant</t>
  </si>
  <si>
    <t>Oil refinery equipment</t>
  </si>
  <si>
    <t>Bosnia &amp; Herzegovina</t>
  </si>
  <si>
    <t>Sealing system for floating roof (Premier Tank Services Ltd)</t>
  </si>
  <si>
    <t>Offshore oil and gas equipment for IHC Offshore &amp; Marine</t>
  </si>
  <si>
    <t>Two carousel systems (MAATS Tech Ltd)</t>
  </si>
  <si>
    <t>Oil and gas equipment for National Oilwell Varco</t>
  </si>
  <si>
    <t>Oil and gas equipment for Hyundai Heavy Industries</t>
    <phoneticPr fontId="3" type="noConversion"/>
  </si>
  <si>
    <t>Oil and gas equipment for Samsung Heavy Industries</t>
    <phoneticPr fontId="3" type="noConversion"/>
  </si>
  <si>
    <t>Goods for FPSO vessel (DPS (Bristol) Ltd)</t>
    <phoneticPr fontId="3" type="noConversion"/>
  </si>
  <si>
    <t>Oil and gas equipment for Daewoo Shipbuilding and Engineering</t>
    <phoneticPr fontId="3" type="noConversion"/>
  </si>
  <si>
    <t>To improve the lives of the Afghan people by providing financial support to improve the Government of Afghanistan’s capability to implement development projects and reforms. This will benefit people in all provinces of Afghanistan by improving access to basic services, infrastructure, governance and community representation. This contributes to MDGs 1-5 through a range of interventions, and will remain the main mechanism for coordinated donor support to Afghanistan for many years to come.power generation/nonrenewables budget of 6% of £256,825,686</t>
    <phoneticPr fontId="3" type="noConversion"/>
  </si>
  <si>
    <t>http://devtracker.dfid.gov.uk/projects/GB-1-204158/</t>
    <phoneticPr fontId="3" type="noConversion"/>
  </si>
  <si>
    <t>Ghana Oil and Gas for Inclusive Growth [GB-1-204330]</t>
    <phoneticPr fontId="3" type="noConversion"/>
  </si>
  <si>
    <t>Ghana</t>
    <phoneticPr fontId="3" type="noConversion"/>
  </si>
  <si>
    <t>High pressure tubular pipes (Metalis Energy Ltd)</t>
    <phoneticPr fontId="3" type="noConversion"/>
  </si>
  <si>
    <t>DDW Paxocean</t>
  </si>
  <si>
    <t>https://www.gov.uk/government/uploads/system/uploads/attachment_data/file/436270/10417-TSO-UKEF_-Annual_Report_and_Accounts_2014-15-ACCESSIBLE07__2_.pdf http://www.saipem.com/sites/SAIPEM_en_IT/area/COMPANY-saipem-company.page http://www.sheffieldforgemasters.com/vulcan/home</t>
    <phoneticPr fontId="3" type="noConversion"/>
  </si>
  <si>
    <t>Oil and gas equipment for TH Engineering Berhard</t>
    <phoneticPr fontId="3" type="noConversion"/>
  </si>
  <si>
    <t>Malaysia</t>
  </si>
  <si>
    <t>Swivel Stack System (Flexible Engineered Solutions Limited)</t>
    <phoneticPr fontId="3" type="noConversion"/>
  </si>
  <si>
    <t>Pipe laying vessels (IHC Engineering Business Ltd) - Sapura Navegação Marítima, a joint venture of SapuraKencana and Seadrill required a vessel suitable to install flexible pipelines in Brazilian waters, pursuant to Petrobras’ contracts for the charter and operation of pipelaying support vessels.</t>
    <phoneticPr fontId="3" type="noConversion"/>
  </si>
  <si>
    <t>https://www.gov.uk/government/uploads/system/uploads/attachment_data/file/436270/10417-TSO-UKEF_-Annual_Report_and_Accounts_2014-15-ACCESSIBLE07__2_.pdf http://www.ihcmerwede.com/vessels/offshore/pipelaying-vessels/sapura-topazio/</t>
    <phoneticPr fontId="3" type="noConversion"/>
  </si>
  <si>
    <t>Stern offloading system (Techflow Marine Ltd) - Techflow Marine provides a range of specialist products to the Offshore Oil &amp; Gas and Marine industries.</t>
    <phoneticPr fontId="3" type="noConversion"/>
  </si>
  <si>
    <t>Oil and gas equipment for Saipem Energy Services</t>
    <phoneticPr fontId="3" type="noConversion"/>
  </si>
  <si>
    <t>"SMPCL is developing a dual fuel (Natural Gas/ liquid Fuel Oil) fired combined cycle power plant located at Meghnaghat, Naryanganj in Bangladesh. The Project envisages 2 gas turbine generators, 2 heat recovery steam generators and 1 steam turbine generators with net capacity 335 MW on gas and 305 MW on HFO in combined cycle operation and net capacity 220 MW on gas and 203 MW capacities on fuel at reference site conditions."</t>
    <phoneticPr fontId="3" type="noConversion"/>
  </si>
  <si>
    <t>Note: ijglobal data often refers to the financial close date of a project, not the date when funding was approved, which is the information generally used to assign time period.</t>
    <phoneticPr fontId="3" type="noConversion"/>
  </si>
  <si>
    <t xml:space="preserve">Multiple or unspecified fossil fuels </t>
    <phoneticPr fontId="3" type="noConversion"/>
  </si>
  <si>
    <t xml:space="preserve">Total fossil fuel finance 2013 &amp; 2014 </t>
    <phoneticPr fontId="3" type="noConversion"/>
  </si>
  <si>
    <t>Royal Bank of Scotland</t>
    <phoneticPr fontId="3" type="noConversion"/>
  </si>
  <si>
    <t>offloading reel systems (Techflow Marine Ltd)</t>
    <phoneticPr fontId="3" type="noConversion"/>
  </si>
  <si>
    <t>SBI Offshore</t>
  </si>
  <si>
    <t>High pressure hoses  (Techflow Flexibles
Ltd)(Techflow Marine Ltd)</t>
    <phoneticPr fontId="3" type="noConversion"/>
  </si>
  <si>
    <t>PPL Shipyard Pte Ltd</t>
  </si>
  <si>
    <t>Keppel Fels</t>
  </si>
  <si>
    <t>High pressure hoses  (Techflow Flexibles
Ltd)</t>
    <phoneticPr fontId="3" type="noConversion"/>
  </si>
  <si>
    <t>Single Buoy Moorings Inc</t>
  </si>
  <si>
    <t>Turkiye Petrol Rafinerileri SA</t>
  </si>
  <si>
    <t>Turkey</t>
  </si>
  <si>
    <t>Bitumen loading arms (Trainload Ltd)</t>
    <phoneticPr fontId="3" type="noConversion"/>
  </si>
  <si>
    <t>McDermott Middle East Inc</t>
    <phoneticPr fontId="3" type="noConversion"/>
  </si>
  <si>
    <t>https://www.gov.uk/government/uploads/system/uploads/attachment_data/file/436270/10417-TSO-UKEF_-Annual_Report_and_Accounts_2014-15-ACCESSIBLE07__2_.pdf  http://www.lanemark.com/about.aspx</t>
    <phoneticPr fontId="3" type="noConversion"/>
  </si>
  <si>
    <t>Compression platform (DPS (Bristol) Ltd)</t>
    <phoneticPr fontId="3" type="noConversion"/>
  </si>
  <si>
    <t>https://www.gov.uk/government/uploads/system/uploads/attachment_data/file/436270/10417-TSO-UKEF_-Annual_Report_and_Accounts_2014-15-ACCESSIBLE07__2_.pdf  http://www.lanemark.com/about.aspx http://www.dps-global.com/news-press/news-press-archive-2013/dps-wins-cakerawala-production-platform-contract</t>
    <phoneticPr fontId="3" type="noConversion"/>
  </si>
  <si>
    <t>Remotely operated vehicles (Forum Energy Technologies UK Ltd)</t>
    <phoneticPr fontId="3" type="noConversion"/>
  </si>
  <si>
    <t>APL Norway AS</t>
    <phoneticPr fontId="3" type="noConversion"/>
  </si>
  <si>
    <t>Mooring system connectors (FTL Subsea Ltd)</t>
    <phoneticPr fontId="3" type="noConversion"/>
  </si>
  <si>
    <t>Jotne E &amp; P AS</t>
    <phoneticPr fontId="3" type="noConversion"/>
  </si>
  <si>
    <t>Anodes (MCPS Ltd)</t>
    <phoneticPr fontId="3" type="noConversion"/>
  </si>
  <si>
    <t>Kvaerner Stord AS</t>
    <phoneticPr fontId="3" type="noConversion"/>
  </si>
  <si>
    <t>Units and racks (OGN North Sea Ltd)</t>
    <phoneticPr fontId="3" type="noConversion"/>
  </si>
  <si>
    <t>http://www.cdcgroup.com/Documents/Annual%20Reviews/CDC_AR14.pdf</t>
    <phoneticPr fontId="3" type="noConversion"/>
  </si>
  <si>
    <t>CDC</t>
    <phoneticPr fontId="3" type="noConversion"/>
  </si>
  <si>
    <t>Indorama Eleme Fertilizer and Chemicals</t>
    <phoneticPr fontId="3" type="noConversion"/>
  </si>
  <si>
    <t>Nigeria</t>
    <phoneticPr fontId="3" type="noConversion"/>
  </si>
  <si>
    <t xml:space="preserve">"Indorama is building a mega sized urea fertilizer plant in Nigeria under the helm of “Indorama Eleme Fertilizer &amp; Chemicals Limited (“IEFCL”). The project consists of 2300 TPD Ammonia plant, 4000 TPF Urea plant, 83 km long Gas Pipeline, and an Export Port Terminal." Because the portion of gas as part of the project could not be determined this $40000000 investment is not included in the totals. </t>
    <phoneticPr fontId="3" type="noConversion"/>
  </si>
  <si>
    <t>downstream</t>
    <phoneticPr fontId="3" type="noConversion"/>
  </si>
  <si>
    <t>http://www.cdcgroup.com/Documents/Annual%20Reviews/CDC_AR14.pdf</t>
  </si>
  <si>
    <t>Summit Meghnaghat</t>
    <phoneticPr fontId="3" type="noConversion"/>
  </si>
  <si>
    <t>Bangladesh</t>
    <phoneticPr fontId="3" type="noConversion"/>
  </si>
  <si>
    <t>To deliver effective management of oil and gas resources that maximise the benefits for the people of Ghana. Energy policy and administration budget of 65.43% of £17,315,596</t>
    <phoneticPr fontId="3" type="noConversion"/>
  </si>
  <si>
    <t>http://devtracker.dfid.gov.uk/projects/GB-1-204330/</t>
    <phoneticPr fontId="3" type="noConversion"/>
  </si>
  <si>
    <t>Azura Power</t>
    <phoneticPr fontId="3" type="noConversion"/>
  </si>
  <si>
    <t>Nigeria</t>
    <phoneticPr fontId="3" type="noConversion"/>
  </si>
  <si>
    <t>Oil and gas equipment for Dynac Sdn Bhd</t>
    <phoneticPr fontId="3" type="noConversion"/>
  </si>
  <si>
    <t>Air handling units (North Sea Ventilation Ltd)  - Dynac is experienced in providing customers with oil and gas based related industries and engieneering works.)</t>
    <phoneticPr fontId="3" type="noConversion"/>
  </si>
  <si>
    <t>upstream</t>
    <phoneticPr fontId="3" type="noConversion"/>
  </si>
  <si>
    <t>Oil and gas equipment for One Subsea Malaysia</t>
    <phoneticPr fontId="3" type="noConversion"/>
  </si>
  <si>
    <t xml:space="preserve">Flowbends (QA Welch Tech Ltd) - One Subsea delivers integrated solutions, products, and systemsn for the subsea oil and gas market. </t>
    <phoneticPr fontId="3" type="noConversion"/>
  </si>
  <si>
    <t>Gas furnaces for Varmoxz SA de CV</t>
    <phoneticPr fontId="3" type="noConversion"/>
  </si>
  <si>
    <t>Mexico</t>
  </si>
  <si>
    <t>Gas Fired furnaces (JMC Recycling Systems)</t>
    <phoneticPr fontId="3" type="noConversion"/>
  </si>
  <si>
    <t>downstream</t>
    <phoneticPr fontId="3" type="noConversion"/>
  </si>
  <si>
    <t>Supporting the Government of Tanzania to implement a transformational new Big Results Now programme to accelerate achievement of middle income status by 2025 and transition out of aid dependency, by identifying and resolving constraints to results delivery in the Government’s priority areas (initially: energy, water, transport, agriculture, education and resource mobilisation, with more to be added in future years). The results driven monitoring system will enable high-level oversight of progress, make the existing system work, and put transparency and accountability for performance front and centre. Energy policy and administration budget of 6.77% of £38,999,999</t>
    <phoneticPr fontId="3" type="noConversion"/>
  </si>
  <si>
    <t>midstream</t>
    <phoneticPr fontId="3" type="noConversion"/>
  </si>
  <si>
    <t>http://devtracker.dfid.gov.uk/projects/GB-1-204010/</t>
    <phoneticPr fontId="3" type="noConversion"/>
  </si>
  <si>
    <t>Afghanistan Reconstruction Trust Fund, 2014-2017 [GB-1-204158]</t>
    <phoneticPr fontId="3" type="noConversion"/>
  </si>
  <si>
    <t>Afghanistan</t>
    <phoneticPr fontId="3" type="noConversion"/>
  </si>
  <si>
    <t>Middle East and North Afric</t>
    <phoneticPr fontId="3" type="noConversion"/>
  </si>
  <si>
    <r>
      <t>Public finance summary (</t>
    </r>
    <r>
      <rPr>
        <b/>
        <sz val="10"/>
        <color indexed="62"/>
        <rFont val="Arial"/>
        <family val="2"/>
      </rPr>
      <t xml:space="preserve">million </t>
    </r>
    <r>
      <rPr>
        <b/>
        <sz val="10"/>
        <color rgb="FF4F81BD"/>
        <rFont val="Arial"/>
        <family val="2"/>
      </rPr>
      <t>USD - except where otherwise indicated)</t>
    </r>
    <phoneticPr fontId="3" type="noConversion"/>
  </si>
  <si>
    <t xml:space="preserve">"Azura Power is a world-class power company whose ambition is to provide electricity to millions of people across Africa. Azura-Edo, our first IPP project, is a 450MW open cycle gas turbine power station and the first phase of a 1,500+MW power plant facility near Benin City, in Edo State, Nigeria." </t>
    <phoneticPr fontId="3" type="noConversion"/>
  </si>
  <si>
    <t>Hazardous area control equipment (Baldwin &amp; Francis
Ltd)</t>
    <phoneticPr fontId="3" type="noConversion"/>
  </si>
  <si>
    <t>Petrofac International Ltd</t>
    <phoneticPr fontId="3" type="noConversion"/>
  </si>
  <si>
    <t>Tower system for pipe lay vessel (IHC Engineering
Business Ltd)</t>
    <phoneticPr fontId="3" type="noConversion"/>
  </si>
  <si>
    <t xml:space="preserve">Not Disclosed </t>
    <phoneticPr fontId="3" type="noConversion"/>
  </si>
  <si>
    <t>Gas turbines</t>
  </si>
  <si>
    <t>DfID</t>
    <phoneticPr fontId="3" type="noConversion"/>
  </si>
  <si>
    <t>Arab Partnership Economic Facility (APEF) - Natural Resource Management in the Middle East and North Africa (MENA) Region [GB-1-203966]</t>
    <phoneticPr fontId="3" type="noConversion"/>
  </si>
  <si>
    <t>Societe d'Exploration de Pieter Schelte NV</t>
    <phoneticPr fontId="3" type="noConversion"/>
  </si>
  <si>
    <t>Stern offloading system (Techflow Flexibles Ltd)</t>
    <phoneticPr fontId="3" type="noConversion"/>
  </si>
  <si>
    <t>Marine Platforms Ltd</t>
    <phoneticPr fontId="3" type="noConversion"/>
  </si>
  <si>
    <t>Nigeria</t>
  </si>
  <si>
    <t>Department for Business Innovation and Skills</t>
  </si>
  <si>
    <t>http://www.publications.parliament.uk/pa/cm201415/cmhansrd/cm150326/wmstext/150326m0001.htm</t>
  </si>
  <si>
    <t>UK Coal</t>
  </si>
  <si>
    <t>Loan to help avoid the company's insolvency</t>
  </si>
  <si>
    <t>HCPL</t>
  </si>
  <si>
    <t>Loan to support company's mine closure program</t>
  </si>
  <si>
    <t>http://www.publications.parliament.uk/pa/cm201415/cmhansrd/cm150107/wmstext/150107m0001.htm</t>
  </si>
  <si>
    <t>Department for Business Innovation and Skill</t>
  </si>
  <si>
    <t>G20 SUBSIDIES FOR OIL, GAS AND COAL PRODUCTION: UNITED KINGDOM</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</si>
  <si>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</si>
  <si>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</si>
  <si>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</si>
  <si>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 xml:space="preserve">Read the UK country study: http://www.odi.org/publications/10085-g20-subsidies-oil-gas-coal-production-united-kingdom </t>
  </si>
  <si>
    <t>https://www.gov.uk/government/uploads/system/uploads/attachment_data/file/449380/HMRC_Annual_Report_and_Accounts_2014-15_Section_3_-_Financial_statements.pdf; https://www.gov.uk/government/uploads/system/uploads/attachment_data/file/330670/HMRC-annual-report-2013-14.pdf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</si>
</sst>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_-* #,##0_-;\-* #,##0_-;_-* &quot;-&quot;??_-;_-@_-"/>
  </numFmts>
  <fonts count="17" x14ac:knownFonts="1">
    <font>
      <sz val="12"/>
      <color theme="1"/>
      <name val="Calibri"/>
      <family val="2"/>
      <scheme val="minor"/>
    </font>
    <font>
      <u/>
      <sz val="12"/>
      <color theme="10"/>
      <name val="Calibri"/>
      <family val="2"/>
      <scheme val="minor"/>
    </font>
    <font>
      <u/>
      <sz val="12"/>
      <color theme="11"/>
      <name val="Calibri"/>
      <family val="2"/>
      <scheme val="minor"/>
    </font>
    <font>
      <sz val="8"/>
      <name val="Verdana"/>
    </font>
    <font>
      <sz val="12"/>
      <color theme="1"/>
      <name val="Calibri"/>
      <family val="2"/>
      <scheme val="minor"/>
    </font>
    <font>
      <b/>
      <sz val="10"/>
      <color indexed="8"/>
      <name val="Arial"/>
      <family val="2"/>
    </font>
    <font>
      <sz val="10"/>
      <color indexed="8"/>
      <name val="Arial"/>
      <family val="2"/>
    </font>
    <font>
      <u/>
      <sz val="10"/>
      <color indexed="12"/>
      <name val="Arial"/>
      <family val="2"/>
    </font>
    <font>
      <b/>
      <sz val="10"/>
      <color rgb="FF4F81BD"/>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0"/>
      <name val="Arial"/>
      <family val="2"/>
    </font>
    <font>
      <u/>
      <sz val="10"/>
      <color indexed="12"/>
      <name val="Arial"/>
      <family val="2"/>
    </font>
    <font>
      <b/>
      <sz val="10"/>
      <color indexed="62"/>
      <name val="Arial"/>
      <family val="2"/>
    </font>
    <font>
      <i/>
      <sz val="1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style="thin">
        <color auto="1"/>
      </right>
      <top style="thin">
        <color auto="1"/>
      </top>
      <bottom/>
      <diagonal/>
    </border>
  </borders>
  <cellStyleXfs count="1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42">
    <xf numFmtId="0" fontId="0" fillId="0" borderId="0" xfId="0"/>
    <xf numFmtId="0" fontId="9" fillId="2" borderId="20" xfId="0" applyFont="1" applyFill="1" applyBorder="1" applyAlignment="1">
      <alignment horizontal="left" wrapText="1"/>
    </xf>
    <xf numFmtId="0" fontId="11" fillId="0" borderId="12" xfId="0" applyFont="1" applyBorder="1" applyAlignment="1">
      <alignment horizontal="left"/>
    </xf>
    <xf numFmtId="0" fontId="6" fillId="0" borderId="0" xfId="0" applyFont="1"/>
    <xf numFmtId="0" fontId="6" fillId="0" borderId="0" xfId="0" applyFont="1" applyAlignment="1">
      <alignment horizontal="justify" vertical="center"/>
    </xf>
    <xf numFmtId="3" fontId="6" fillId="0" borderId="0" xfId="0" applyNumberFormat="1" applyFont="1"/>
    <xf numFmtId="0" fontId="8" fillId="0" borderId="0" xfId="0" applyFont="1" applyAlignment="1">
      <alignment vertical="center"/>
    </xf>
    <xf numFmtId="0" fontId="7" fillId="0" borderId="0" xfId="1" applyFont="1" applyFill="1" applyBorder="1" applyAlignment="1">
      <alignment horizontal="justify" vertical="center"/>
    </xf>
    <xf numFmtId="0" fontId="5" fillId="0" borderId="0" xfId="0" applyFont="1" applyAlignment="1">
      <alignment horizontal="justify" vertical="center"/>
    </xf>
    <xf numFmtId="0" fontId="8" fillId="0" borderId="0" xfId="0" applyFont="1" applyBorder="1" applyAlignment="1">
      <alignment horizontal="left" vertical="center"/>
    </xf>
    <xf numFmtId="0" fontId="9" fillId="0" borderId="2"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4"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7" fillId="0" borderId="5" xfId="1" applyFont="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7" fillId="0" borderId="5" xfId="1" applyFont="1" applyBorder="1" applyAlignment="1">
      <alignment vertical="center" wrapText="1"/>
    </xf>
    <xf numFmtId="0" fontId="7" fillId="0" borderId="8" xfId="1" applyFont="1" applyBorder="1" applyAlignment="1">
      <alignment vertical="center" wrapText="1"/>
    </xf>
    <xf numFmtId="0" fontId="13" fillId="0" borderId="5" xfId="1"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164" fontId="6" fillId="0" borderId="0" xfId="0" applyNumberFormat="1" applyFont="1"/>
    <xf numFmtId="0" fontId="11" fillId="0" borderId="0" xfId="0" applyFont="1"/>
    <xf numFmtId="0" fontId="13" fillId="0" borderId="12" xfId="0" applyFont="1" applyBorder="1"/>
    <xf numFmtId="0" fontId="9" fillId="0" borderId="1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11" xfId="0" applyFont="1" applyBorder="1" applyAlignment="1">
      <alignment wrapText="1"/>
    </xf>
    <xf numFmtId="0" fontId="6" fillId="0" borderId="0" xfId="0" applyFont="1" applyAlignment="1">
      <alignment wrapText="1"/>
    </xf>
    <xf numFmtId="0" fontId="11" fillId="0" borderId="20" xfId="0" applyFont="1" applyFill="1" applyBorder="1" applyAlignment="1">
      <alignment horizontal="left"/>
    </xf>
    <xf numFmtId="0" fontId="6" fillId="0" borderId="21" xfId="0" applyFont="1" applyBorder="1"/>
    <xf numFmtId="0" fontId="6" fillId="0" borderId="21" xfId="0" applyFont="1" applyFill="1" applyBorder="1" applyAlignment="1"/>
    <xf numFmtId="165" fontId="6" fillId="0" borderId="21" xfId="3" applyNumberFormat="1" applyFont="1" applyBorder="1"/>
    <xf numFmtId="0" fontId="6" fillId="0" borderId="22" xfId="0" applyFont="1" applyBorder="1"/>
    <xf numFmtId="0" fontId="6" fillId="0" borderId="13" xfId="0" applyFont="1" applyBorder="1"/>
    <xf numFmtId="165" fontId="6" fillId="0" borderId="13" xfId="3" applyNumberFormat="1" applyFont="1" applyBorder="1"/>
    <xf numFmtId="0" fontId="6" fillId="0" borderId="13" xfId="0" applyFont="1" applyFill="1" applyBorder="1"/>
    <xf numFmtId="0" fontId="7" fillId="0" borderId="14" xfId="1" applyFont="1" applyBorder="1" applyAlignment="1" applyProtection="1"/>
    <xf numFmtId="0" fontId="6" fillId="0" borderId="0" xfId="0" applyFont="1" applyAlignment="1"/>
    <xf numFmtId="0" fontId="6" fillId="0" borderId="12" xfId="0" applyFont="1" applyBorder="1" applyAlignment="1"/>
    <xf numFmtId="0" fontId="6" fillId="0" borderId="13" xfId="0" applyFont="1" applyBorder="1" applyAlignment="1"/>
    <xf numFmtId="165" fontId="6" fillId="0" borderId="13" xfId="3" applyNumberFormat="1" applyFont="1" applyBorder="1" applyAlignment="1"/>
    <xf numFmtId="0" fontId="6" fillId="0" borderId="13" xfId="0" applyFont="1" applyFill="1" applyBorder="1" applyAlignment="1"/>
    <xf numFmtId="0" fontId="6" fillId="0" borderId="14" xfId="0" applyFont="1" applyFill="1" applyBorder="1" applyAlignment="1"/>
    <xf numFmtId="0" fontId="13" fillId="0" borderId="13" xfId="0" applyFont="1" applyBorder="1"/>
    <xf numFmtId="0" fontId="9" fillId="0" borderId="9" xfId="0" applyFont="1" applyBorder="1" applyAlignment="1">
      <alignment horizontal="center" wrapText="1"/>
    </xf>
    <xf numFmtId="0" fontId="9" fillId="0" borderId="10" xfId="0" applyFont="1" applyBorder="1" applyAlignment="1">
      <alignment horizontal="center" wrapText="1"/>
    </xf>
    <xf numFmtId="0" fontId="9" fillId="0" borderId="10" xfId="0" applyFont="1" applyFill="1" applyBorder="1" applyAlignment="1">
      <alignment horizontal="center" wrapText="1"/>
    </xf>
    <xf numFmtId="165" fontId="9" fillId="0" borderId="10" xfId="3" applyNumberFormat="1" applyFont="1" applyBorder="1" applyAlignment="1">
      <alignment horizontal="center" wrapText="1"/>
    </xf>
    <xf numFmtId="0" fontId="9" fillId="0" borderId="11" xfId="0" applyFont="1" applyBorder="1" applyAlignment="1">
      <alignment horizontal="center" wrapText="1"/>
    </xf>
    <xf numFmtId="0" fontId="11" fillId="0" borderId="20" xfId="0" applyFont="1" applyBorder="1" applyAlignment="1">
      <alignment horizontal="center"/>
    </xf>
    <xf numFmtId="165" fontId="11" fillId="0" borderId="21" xfId="3" applyNumberFormat="1" applyFont="1" applyBorder="1" applyAlignment="1">
      <alignment horizontal="center" vertical="center" wrapText="1"/>
    </xf>
    <xf numFmtId="1" fontId="11" fillId="0" borderId="22" xfId="0" applyNumberFormat="1" applyFont="1" applyBorder="1" applyAlignment="1">
      <alignment horizontal="center"/>
    </xf>
    <xf numFmtId="0" fontId="11" fillId="0" borderId="12" xfId="0" applyFont="1" applyBorder="1" applyAlignment="1">
      <alignment horizontal="center"/>
    </xf>
    <xf numFmtId="165" fontId="11" fillId="0" borderId="13" xfId="3" applyNumberFormat="1" applyFont="1" applyBorder="1" applyAlignment="1">
      <alignment horizontal="center" vertical="center" wrapText="1"/>
    </xf>
    <xf numFmtId="1" fontId="11" fillId="0" borderId="14" xfId="0" applyNumberFormat="1" applyFont="1" applyBorder="1" applyAlignment="1">
      <alignment horizontal="center"/>
    </xf>
    <xf numFmtId="165" fontId="11" fillId="0" borderId="13" xfId="3" applyNumberFormat="1" applyFont="1" applyBorder="1" applyAlignment="1">
      <alignment horizontal="center" wrapText="1"/>
    </xf>
    <xf numFmtId="3" fontId="11" fillId="0" borderId="14" xfId="0" applyNumberFormat="1" applyFont="1" applyBorder="1" applyAlignment="1">
      <alignment horizontal="center" wrapText="1"/>
    </xf>
    <xf numFmtId="0" fontId="11" fillId="0" borderId="16" xfId="0" applyFont="1" applyBorder="1" applyAlignment="1">
      <alignment horizontal="center"/>
    </xf>
    <xf numFmtId="3" fontId="11" fillId="0" borderId="17" xfId="0" applyNumberFormat="1" applyFont="1" applyBorder="1" applyAlignment="1">
      <alignment horizontal="center" wrapText="1"/>
    </xf>
    <xf numFmtId="0" fontId="11" fillId="0" borderId="17" xfId="0" applyFont="1" applyBorder="1" applyAlignment="1">
      <alignment horizontal="center"/>
    </xf>
    <xf numFmtId="0" fontId="11" fillId="0" borderId="17" xfId="0" applyFont="1" applyBorder="1" applyAlignment="1">
      <alignment horizontal="center" wrapText="1"/>
    </xf>
    <xf numFmtId="165" fontId="11" fillId="0" borderId="17" xfId="3" applyNumberFormat="1" applyFont="1" applyBorder="1" applyAlignment="1">
      <alignment horizontal="center" wrapText="1"/>
    </xf>
    <xf numFmtId="3" fontId="11" fillId="0" borderId="19" xfId="0" applyNumberFormat="1" applyFont="1" applyBorder="1" applyAlignment="1">
      <alignment horizontal="center" wrapText="1"/>
    </xf>
    <xf numFmtId="165" fontId="6" fillId="0" borderId="0" xfId="3" applyNumberFormat="1" applyFont="1" applyAlignment="1">
      <alignment wrapText="1"/>
    </xf>
    <xf numFmtId="165" fontId="9" fillId="0" borderId="10" xfId="3" applyNumberFormat="1" applyFont="1" applyBorder="1" applyAlignment="1">
      <alignment horizontal="center" vertical="center" wrapText="1"/>
    </xf>
    <xf numFmtId="0" fontId="6" fillId="0" borderId="20" xfId="0" applyFont="1" applyBorder="1"/>
    <xf numFmtId="0" fontId="11" fillId="0" borderId="21" xfId="0" applyFont="1" applyFill="1" applyBorder="1" applyAlignment="1">
      <alignment horizontal="left"/>
    </xf>
    <xf numFmtId="0" fontId="6" fillId="0" borderId="12" xfId="0" applyFont="1" applyBorder="1"/>
    <xf numFmtId="0" fontId="11" fillId="0" borderId="13" xfId="0" applyFont="1" applyFill="1" applyBorder="1" applyAlignment="1">
      <alignment horizontal="left"/>
    </xf>
    <xf numFmtId="0" fontId="6" fillId="0" borderId="14" xfId="0" applyFont="1" applyBorder="1"/>
    <xf numFmtId="0" fontId="11" fillId="0" borderId="13" xfId="0" applyFont="1" applyBorder="1"/>
    <xf numFmtId="0" fontId="6" fillId="0" borderId="13" xfId="0" applyFont="1" applyFill="1" applyBorder="1" applyAlignment="1">
      <alignment horizontal="left"/>
    </xf>
    <xf numFmtId="0" fontId="11" fillId="0" borderId="13" xfId="0" applyFont="1" applyFill="1" applyBorder="1"/>
    <xf numFmtId="0" fontId="6" fillId="0" borderId="14" xfId="0" applyFont="1" applyBorder="1" applyAlignment="1"/>
    <xf numFmtId="0" fontId="6" fillId="0" borderId="13" xfId="0" applyFont="1" applyBorder="1" applyAlignment="1">
      <alignment wrapText="1"/>
    </xf>
    <xf numFmtId="165" fontId="6" fillId="0" borderId="13" xfId="3" applyNumberFormat="1" applyFont="1" applyBorder="1" applyAlignment="1">
      <alignment wrapText="1"/>
    </xf>
    <xf numFmtId="0" fontId="14" fillId="0" borderId="14" xfId="1" applyFont="1" applyBorder="1" applyAlignment="1"/>
    <xf numFmtId="0" fontId="6" fillId="0" borderId="14" xfId="0" applyFont="1" applyFill="1" applyBorder="1"/>
    <xf numFmtId="0" fontId="6" fillId="0" borderId="16" xfId="0" applyFont="1" applyBorder="1" applyAlignment="1"/>
    <xf numFmtId="0" fontId="6" fillId="0" borderId="17" xfId="0" applyFont="1" applyBorder="1" applyAlignment="1"/>
    <xf numFmtId="0" fontId="11" fillId="0" borderId="17" xfId="0" applyFont="1" applyBorder="1"/>
    <xf numFmtId="165" fontId="6" fillId="0" borderId="17" xfId="3" applyNumberFormat="1" applyFont="1" applyBorder="1" applyAlignment="1"/>
    <xf numFmtId="0" fontId="6" fillId="0" borderId="17" xfId="0" applyFont="1" applyFill="1" applyBorder="1" applyAlignment="1"/>
    <xf numFmtId="0" fontId="6" fillId="0" borderId="19" xfId="0" applyFont="1" applyFill="1" applyBorder="1"/>
    <xf numFmtId="165" fontId="6" fillId="0" borderId="0" xfId="3" applyNumberFormat="1" applyFont="1" applyAlignment="1"/>
    <xf numFmtId="0" fontId="6" fillId="0" borderId="0" xfId="0" applyFont="1" applyFill="1" applyAlignment="1"/>
    <xf numFmtId="1" fontId="11" fillId="0" borderId="21" xfId="0" quotePrefix="1" applyNumberFormat="1" applyFont="1" applyBorder="1" applyAlignment="1">
      <alignment horizontal="center" vertical="center" wrapText="1"/>
    </xf>
    <xf numFmtId="1" fontId="11" fillId="0" borderId="13" xfId="0" quotePrefix="1" applyNumberFormat="1" applyFont="1" applyBorder="1" applyAlignment="1">
      <alignment horizontal="center" vertical="center" wrapText="1"/>
    </xf>
    <xf numFmtId="165" fontId="9" fillId="2" borderId="13" xfId="3" applyNumberFormat="1" applyFont="1" applyFill="1" applyBorder="1" applyAlignment="1">
      <alignment horizontal="right" wrapText="1"/>
    </xf>
    <xf numFmtId="0" fontId="9" fillId="2" borderId="16" xfId="0" applyFont="1" applyFill="1" applyBorder="1" applyAlignment="1">
      <alignment horizontal="left" wrapText="1"/>
    </xf>
    <xf numFmtId="0" fontId="6" fillId="0" borderId="12" xfId="0" applyFont="1" applyFill="1" applyBorder="1" applyAlignment="1">
      <alignment horizontal="left" wrapText="1"/>
    </xf>
    <xf numFmtId="165" fontId="6" fillId="0" borderId="0" xfId="0" applyNumberFormat="1" applyFont="1"/>
    <xf numFmtId="0" fontId="9" fillId="0" borderId="23" xfId="0" applyFont="1" applyBorder="1" applyAlignment="1">
      <alignment horizontal="right" wrapText="1"/>
    </xf>
    <xf numFmtId="0" fontId="9" fillId="0" borderId="24" xfId="0" applyFont="1" applyBorder="1" applyAlignment="1">
      <alignment horizontal="right" wrapText="1"/>
    </xf>
    <xf numFmtId="165" fontId="11" fillId="0" borderId="13" xfId="3" applyNumberFormat="1" applyFont="1" applyBorder="1" applyAlignment="1">
      <alignment horizontal="right" wrapText="1"/>
    </xf>
    <xf numFmtId="165" fontId="11" fillId="0" borderId="14" xfId="3" applyNumberFormat="1" applyFont="1" applyBorder="1" applyAlignment="1">
      <alignment horizontal="right"/>
    </xf>
    <xf numFmtId="165" fontId="11" fillId="0" borderId="13" xfId="3" applyNumberFormat="1" applyFont="1" applyBorder="1" applyAlignment="1">
      <alignment horizontal="right" vertical="center" wrapText="1"/>
    </xf>
    <xf numFmtId="165" fontId="11" fillId="0" borderId="14" xfId="3" applyNumberFormat="1" applyFont="1" applyBorder="1" applyAlignment="1">
      <alignment horizontal="right" vertical="center" wrapText="1"/>
    </xf>
    <xf numFmtId="0" fontId="8" fillId="0" borderId="15" xfId="0" applyFont="1" applyBorder="1" applyAlignment="1">
      <alignment horizontal="left" vertical="center"/>
    </xf>
    <xf numFmtId="165" fontId="8" fillId="0" borderId="0" xfId="3" applyNumberFormat="1" applyFont="1" applyBorder="1" applyAlignment="1">
      <alignment horizontal="right" vertical="center"/>
    </xf>
    <xf numFmtId="165" fontId="8" fillId="0" borderId="8" xfId="3" applyNumberFormat="1" applyFont="1" applyBorder="1" applyAlignment="1">
      <alignment horizontal="right" vertical="center"/>
    </xf>
    <xf numFmtId="0" fontId="11" fillId="0" borderId="0" xfId="0" applyFont="1" applyFill="1"/>
    <xf numFmtId="165" fontId="6" fillId="0" borderId="13" xfId="3" applyNumberFormat="1" applyFont="1" applyFill="1" applyBorder="1" applyAlignment="1">
      <alignment horizontal="right" wrapText="1"/>
    </xf>
    <xf numFmtId="165" fontId="6" fillId="0" borderId="14" xfId="3" applyNumberFormat="1" applyFont="1" applyFill="1" applyBorder="1" applyAlignment="1">
      <alignment horizontal="right" wrapText="1"/>
    </xf>
    <xf numFmtId="165" fontId="5" fillId="2" borderId="17" xfId="3" applyNumberFormat="1" applyFont="1" applyFill="1" applyBorder="1" applyAlignment="1">
      <alignment horizontal="right" wrapText="1"/>
    </xf>
    <xf numFmtId="0" fontId="9" fillId="0" borderId="25" xfId="0" applyFont="1" applyFill="1" applyBorder="1" applyAlignment="1">
      <alignment horizontal="left" wrapText="1"/>
    </xf>
    <xf numFmtId="165" fontId="9" fillId="0" borderId="26" xfId="3" applyNumberFormat="1" applyFont="1" applyFill="1" applyBorder="1" applyAlignment="1">
      <alignment horizontal="right" wrapText="1"/>
    </xf>
    <xf numFmtId="0" fontId="5" fillId="2" borderId="12" xfId="0" applyFont="1" applyFill="1" applyBorder="1" applyAlignment="1">
      <alignment horizontal="left" wrapText="1"/>
    </xf>
    <xf numFmtId="165" fontId="5" fillId="2" borderId="13" xfId="3" applyNumberFormat="1" applyFont="1" applyFill="1" applyBorder="1" applyAlignment="1">
      <alignment horizontal="right" wrapText="1"/>
    </xf>
    <xf numFmtId="165" fontId="11" fillId="0" borderId="13" xfId="3" applyNumberFormat="1" applyFont="1" applyFill="1" applyBorder="1" applyAlignment="1">
      <alignment horizontal="right" wrapText="1"/>
    </xf>
    <xf numFmtId="0" fontId="6" fillId="0" borderId="0" xfId="0" applyFont="1" applyFill="1"/>
    <xf numFmtId="0" fontId="10" fillId="0" borderId="2" xfId="0" applyFont="1" applyFill="1" applyBorder="1" applyAlignment="1">
      <alignment vertical="center" wrapText="1"/>
    </xf>
    <xf numFmtId="0" fontId="9" fillId="0" borderId="2" xfId="0" applyFont="1" applyFill="1" applyBorder="1" applyAlignment="1">
      <alignment vertical="center" wrapText="1"/>
    </xf>
    <xf numFmtId="0" fontId="8" fillId="0" borderId="7" xfId="0" applyFont="1" applyFill="1" applyBorder="1" applyAlignment="1">
      <alignment vertical="center" wrapText="1"/>
    </xf>
    <xf numFmtId="3" fontId="11" fillId="0" borderId="4" xfId="0" applyNumberFormat="1" applyFont="1" applyFill="1" applyBorder="1" applyAlignment="1">
      <alignment vertical="center" wrapText="1"/>
    </xf>
    <xf numFmtId="0" fontId="12" fillId="0" borderId="5" xfId="0" applyFont="1" applyFill="1" applyBorder="1" applyAlignment="1">
      <alignment vertical="center" wrapText="1"/>
    </xf>
    <xf numFmtId="165" fontId="12" fillId="0" borderId="5" xfId="3" applyNumberFormat="1" applyFont="1" applyFill="1" applyBorder="1" applyAlignment="1">
      <alignment vertical="center" wrapText="1"/>
    </xf>
    <xf numFmtId="0" fontId="12" fillId="0" borderId="4" xfId="0" applyFont="1" applyFill="1" applyBorder="1" applyAlignment="1">
      <alignment vertical="center" wrapText="1"/>
    </xf>
    <xf numFmtId="165" fontId="12" fillId="0" borderId="4" xfId="3" applyNumberFormat="1" applyFont="1" applyFill="1" applyBorder="1" applyAlignment="1">
      <alignment vertical="center" wrapText="1"/>
    </xf>
    <xf numFmtId="0" fontId="10" fillId="0" borderId="5" xfId="0" applyFont="1" applyFill="1" applyBorder="1" applyAlignment="1">
      <alignment vertical="center" wrapText="1"/>
    </xf>
    <xf numFmtId="0" fontId="5" fillId="0" borderId="1" xfId="0" applyFont="1" applyBorder="1" applyAlignment="1">
      <alignment horizont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wrapText="1"/>
    </xf>
    <xf numFmtId="0" fontId="6" fillId="0" borderId="12" xfId="0" applyFont="1" applyBorder="1" applyAlignment="1">
      <alignment horizontal="left"/>
    </xf>
    <xf numFmtId="165" fontId="5" fillId="2" borderId="14" xfId="3" applyNumberFormat="1" applyFont="1" applyFill="1" applyBorder="1" applyAlignment="1">
      <alignment horizontal="right"/>
    </xf>
    <xf numFmtId="43" fontId="11" fillId="3" borderId="13" xfId="3" applyNumberFormat="1" applyFont="1" applyFill="1" applyBorder="1" applyAlignment="1">
      <alignment horizontal="right" wrapText="1"/>
    </xf>
    <xf numFmtId="43" fontId="11" fillId="3" borderId="14" xfId="3" applyNumberFormat="1" applyFont="1" applyFill="1" applyBorder="1" applyAlignment="1">
      <alignment horizontal="right"/>
    </xf>
    <xf numFmtId="0" fontId="5" fillId="4" borderId="0" xfId="0" applyFont="1" applyFill="1" applyAlignment="1">
      <alignment vertical="center"/>
    </xf>
    <xf numFmtId="0" fontId="13" fillId="0" borderId="0" xfId="0" applyFont="1" applyAlignment="1">
      <alignment horizontal="justify" vertical="center" wrapText="1"/>
    </xf>
    <xf numFmtId="0" fontId="1" fillId="0" borderId="0" xfId="11"/>
    <xf numFmtId="0" fontId="1" fillId="3" borderId="0" xfId="11" applyFill="1" applyAlignment="1">
      <alignment horizontal="justify" vertical="center"/>
    </xf>
    <xf numFmtId="0" fontId="1" fillId="0" borderId="0" xfId="11" applyAlignment="1">
      <alignment horizontal="justify" vertical="center"/>
    </xf>
    <xf numFmtId="0" fontId="1" fillId="0" borderId="0" xfId="11" applyFill="1" applyBorder="1" applyAlignment="1">
      <alignment horizontal="justify" vertical="center"/>
    </xf>
    <xf numFmtId="0" fontId="1" fillId="0" borderId="5" xfId="11" applyBorder="1" applyAlignment="1">
      <alignment vertical="center" wrapText="1"/>
    </xf>
    <xf numFmtId="0" fontId="8" fillId="0" borderId="0" xfId="0" applyFont="1" applyBorder="1" applyAlignment="1">
      <alignment horizontal="left" vertical="center" wrapText="1"/>
    </xf>
    <xf numFmtId="3" fontId="5" fillId="0" borderId="4" xfId="0" applyNumberFormat="1" applyFont="1" applyFill="1" applyBorder="1" applyAlignment="1">
      <alignment vertical="center" wrapText="1"/>
    </xf>
  </cellXfs>
  <cellStyles count="12">
    <cellStyle name="Comma" xfId="3" builtinId="3"/>
    <cellStyle name="Comma 2" xfId="4"/>
    <cellStyle name="Followed Hyperlink" xfId="2"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 builtinId="8" hidden="1"/>
    <cellStyle name="Hyperlink" xfId="1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85-g20-subsidies-oil-gas-coal-production-united-kingdom" TargetMode="External"/><Relationship Id="rId1" Type="http://schemas.openxmlformats.org/officeDocument/2006/relationships/hyperlink" Target="http://www.odi.org/empty-promis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385188/TIIN_2028.pdf" TargetMode="External"/><Relationship Id="rId13" Type="http://schemas.openxmlformats.org/officeDocument/2006/relationships/printerSettings" Target="../printerSettings/printerSettings1.bin"/><Relationship Id="rId3" Type="http://schemas.openxmlformats.org/officeDocument/2006/relationships/hyperlink" Target="https://www.gov.uk/government/uploads/system/uploads/attachment_data/file/389539/20141231_expenditure_reliefs_v0.3.pdf" TargetMode="External"/><Relationship Id="rId7" Type="http://schemas.openxmlformats.org/officeDocument/2006/relationships/hyperlink" Target="https://www.gov.uk/government/uploads/system/uploads/attachment_data/file/389539/20141231_expenditure_reliefs_v0.3.pdf" TargetMode="External"/><Relationship Id="rId12" Type="http://schemas.openxmlformats.org/officeDocument/2006/relationships/hyperlink" Target="https://www.gov.uk/guidance/uk-carbon-capture-and-storage-government-funding-and-support" TargetMode="External"/><Relationship Id="rId2" Type="http://schemas.openxmlformats.org/officeDocument/2006/relationships/hyperlink" Target="http://www.foe.co.uk/sites/default/files/downloads/14-worth-2.7-billion-46637.pdf" TargetMode="External"/><Relationship Id="rId1" Type="http://schemas.openxmlformats.org/officeDocument/2006/relationships/hyperlink" Target="https://www.gov.uk/government/uploads/system/uploads/attachment_data/file/449380/HMRC_Annual_Report_and_Accounts_2014-15_Section_3_-_Financial_statements.pdf" TargetMode="External"/><Relationship Id="rId6" Type="http://schemas.openxmlformats.org/officeDocument/2006/relationships/hyperlink" Target="https://www.gov.uk/government/uploads/system/uploads/attachment_data/file/293835/TIIN_8164_capital_allowances_regime_mineral_extraction_allowance.pdf" TargetMode="External"/><Relationship Id="rId11" Type="http://schemas.openxmlformats.org/officeDocument/2006/relationships/hyperlink" Target="https://www.gov.uk/government/uploads/system/uploads/attachment_data/file/382327/44695_Accessible.pdf" TargetMode="External"/><Relationship Id="rId5" Type="http://schemas.openxmlformats.org/officeDocument/2006/relationships/hyperlink" Target="https://www.gov.uk/government/uploads/system/uploads/attachment_data/file/438739/11_12.pdf" TargetMode="External"/><Relationship Id="rId10" Type="http://schemas.openxmlformats.org/officeDocument/2006/relationships/hyperlink" Target="https://www.gov.uk/government/uploads/system/uploads/attachment_data/file/382327/44695_Accessible.pdf" TargetMode="External"/><Relationship Id="rId4" Type="http://schemas.openxmlformats.org/officeDocument/2006/relationships/hyperlink" Target="http://www.parliament.uk/business/publications/written-questions-answers-statements/written-question/Commons/2014-09-09/208802" TargetMode="External"/><Relationship Id="rId9" Type="http://schemas.openxmlformats.org/officeDocument/2006/relationships/hyperlink" Target="http://dx.doi.org/10.1787/data-00488-e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ijonline.com/data/transaction/28271/wales-and-west-utilities-refinancing-201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ijglobal.com/data/transaction/32697/redexis-gas-corporate-refinancing-2014" TargetMode="External"/><Relationship Id="rId3" Type="http://schemas.openxmlformats.org/officeDocument/2006/relationships/hyperlink" Target="http://www.ijonline.com/data/transaction/26528/ratch-australia-refinancing-2013" TargetMode="External"/><Relationship Id="rId7" Type="http://schemas.openxmlformats.org/officeDocument/2006/relationships/hyperlink" Target="https://ijglobal.com/data/transaction/30884/acquisition-of-devon-energys-non-core-gas-assets" TargetMode="External"/><Relationship Id="rId2" Type="http://schemas.openxmlformats.org/officeDocument/2006/relationships/hyperlink" Target="http://www.ijonline.com/data/transaction/29525/calpine-development-portfolio-refinancing-2014" TargetMode="External"/><Relationship Id="rId1" Type="http://schemas.openxmlformats.org/officeDocument/2006/relationships/hyperlink" Target="http://www.ijonline.com/data/transaction/26375/delta-nv-credit-facility-2013" TargetMode="External"/><Relationship Id="rId6" Type="http://schemas.openxmlformats.org/officeDocument/2006/relationships/hyperlink" Target="https://ijglobal.com/data/transaction/27833/blue-racer-midstream-credit-facility-2013" TargetMode="External"/><Relationship Id="rId11" Type="http://schemas.openxmlformats.org/officeDocument/2006/relationships/hyperlink" Target="https://www.gov.uk/government/uploads/system/uploads/attachment_data/file/436270/10417-TSO-UKEF_-Annual_Report_and_Accounts_2014-15-ACCESSIBLE07__2_.pdf" TargetMode="External"/><Relationship Id="rId5" Type="http://schemas.openxmlformats.org/officeDocument/2006/relationships/hyperlink" Target="http://www.ijonline.com/data/transaction/28072/fluxys-gas-transmission-refinancing-2013" TargetMode="External"/><Relationship Id="rId10" Type="http://schemas.openxmlformats.org/officeDocument/2006/relationships/hyperlink" Target="https://www.gov.uk/government/uploads/system/uploads/attachment_data/file/326210/10132-UKEF-Annual_Report_and_Accounts_2013-14_ACCESSIBLE16__3_.pdf" TargetMode="External"/><Relationship Id="rId4" Type="http://schemas.openxmlformats.org/officeDocument/2006/relationships/hyperlink" Target="http://www.ijonline.com/data/transaction/27884/584-mw-st-clair-energy-centre-refinancing-2013" TargetMode="External"/><Relationship Id="rId9" Type="http://schemas.openxmlformats.org/officeDocument/2006/relationships/hyperlink" Target="https://ijglobal.com/data/transaction/29606/redexis-corporate-bond-refinancing-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opLeftCell="B1" workbookViewId="0">
      <selection activeCell="B22" sqref="B22"/>
    </sheetView>
  </sheetViews>
  <sheetFormatPr defaultColWidth="8.69921875" defaultRowHeight="13.2" x14ac:dyDescent="0.25"/>
  <cols>
    <col min="1" max="1" width="8.69921875" style="3"/>
    <col min="2" max="2" width="112.69921875" style="3" customWidth="1"/>
    <col min="3" max="16384" width="8.69921875" style="3"/>
  </cols>
  <sheetData>
    <row r="1" spans="2:2" ht="36" customHeight="1" x14ac:dyDescent="0.25">
      <c r="B1" s="133" t="s">
        <v>503</v>
      </c>
    </row>
    <row r="3" spans="2:2" ht="39.6" x14ac:dyDescent="0.25">
      <c r="B3" s="134" t="s">
        <v>504</v>
      </c>
    </row>
    <row r="4" spans="2:2" ht="52.8" x14ac:dyDescent="0.25">
      <c r="B4" s="4" t="s">
        <v>505</v>
      </c>
    </row>
    <row r="5" spans="2:2" ht="26.4" x14ac:dyDescent="0.25">
      <c r="B5" s="4" t="s">
        <v>18</v>
      </c>
    </row>
    <row r="6" spans="2:2" x14ac:dyDescent="0.25">
      <c r="B6" s="4"/>
    </row>
    <row r="7" spans="2:2" ht="15.6" x14ac:dyDescent="0.3">
      <c r="B7" s="135" t="s">
        <v>506</v>
      </c>
    </row>
    <row r="8" spans="2:2" ht="15.6" x14ac:dyDescent="0.25">
      <c r="B8" s="136" t="s">
        <v>507</v>
      </c>
    </row>
    <row r="10" spans="2:2" x14ac:dyDescent="0.25">
      <c r="B10" s="8" t="s">
        <v>19</v>
      </c>
    </row>
    <row r="11" spans="2:2" ht="15.6" x14ac:dyDescent="0.25">
      <c r="B11" s="137" t="s">
        <v>20</v>
      </c>
    </row>
    <row r="12" spans="2:2" ht="15.6" x14ac:dyDescent="0.25">
      <c r="B12" s="138" t="s">
        <v>21</v>
      </c>
    </row>
    <row r="13" spans="2:2" ht="15.6" x14ac:dyDescent="0.25">
      <c r="B13" s="138" t="s">
        <v>22</v>
      </c>
    </row>
    <row r="14" spans="2:2" ht="15.6" x14ac:dyDescent="0.25">
      <c r="B14" s="138" t="s">
        <v>23</v>
      </c>
    </row>
    <row r="15" spans="2:2" ht="15.6" x14ac:dyDescent="0.25">
      <c r="B15" s="138" t="s">
        <v>24</v>
      </c>
    </row>
    <row r="16" spans="2:2" x14ac:dyDescent="0.25">
      <c r="B16" s="7"/>
    </row>
  </sheetData>
  <phoneticPr fontId="3"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workbookViewId="0">
      <selection activeCell="B22" sqref="B22"/>
    </sheetView>
  </sheetViews>
  <sheetFormatPr defaultColWidth="11" defaultRowHeight="13.2" x14ac:dyDescent="0.25"/>
  <cols>
    <col min="1" max="1" width="19.69921875" style="3" customWidth="1"/>
    <col min="2" max="4" width="11" style="3"/>
    <col min="5" max="5" width="12" style="3" bestFit="1" customWidth="1"/>
    <col min="6" max="6" width="12.69921875" style="3" bestFit="1" customWidth="1"/>
    <col min="7" max="7" width="17.19921875" style="3" customWidth="1"/>
    <col min="8" max="8" width="75.19921875" style="3" customWidth="1"/>
    <col min="9" max="9" width="11" style="3"/>
    <col min="10" max="10" width="11.19921875" style="3" bestFit="1" customWidth="1"/>
    <col min="11" max="16384" width="11" style="3"/>
  </cols>
  <sheetData>
    <row r="1" spans="1:10" x14ac:dyDescent="0.25">
      <c r="A1" s="9" t="s">
        <v>62</v>
      </c>
      <c r="E1" s="116"/>
      <c r="F1" s="116"/>
      <c r="G1" s="116"/>
    </row>
    <row r="2" spans="1:10" ht="13.8" thickBot="1" x14ac:dyDescent="0.3">
      <c r="E2" s="116"/>
      <c r="F2" s="116"/>
      <c r="G2" s="116"/>
    </row>
    <row r="3" spans="1:10" ht="40.200000000000003" thickBot="1" x14ac:dyDescent="0.3">
      <c r="A3" s="10" t="s">
        <v>38</v>
      </c>
      <c r="B3" s="10" t="s">
        <v>39</v>
      </c>
      <c r="C3" s="10" t="s">
        <v>40</v>
      </c>
      <c r="D3" s="10" t="s">
        <v>41</v>
      </c>
      <c r="E3" s="117" t="s">
        <v>63</v>
      </c>
      <c r="F3" s="117" t="s">
        <v>64</v>
      </c>
      <c r="G3" s="118" t="s">
        <v>65</v>
      </c>
      <c r="H3" s="10" t="s">
        <v>10</v>
      </c>
    </row>
    <row r="4" spans="1:10" ht="13.8" thickBot="1" x14ac:dyDescent="0.3">
      <c r="A4" s="11" t="s">
        <v>42</v>
      </c>
      <c r="B4" s="12"/>
      <c r="C4" s="12"/>
      <c r="D4" s="12"/>
      <c r="E4" s="119"/>
      <c r="F4" s="119"/>
      <c r="G4" s="119"/>
      <c r="H4" s="13"/>
    </row>
    <row r="5" spans="1:10" ht="53.4" thickBot="1" x14ac:dyDescent="0.3">
      <c r="A5" s="14" t="s">
        <v>55</v>
      </c>
      <c r="B5" s="15" t="s">
        <v>97</v>
      </c>
      <c r="C5" s="15" t="s">
        <v>98</v>
      </c>
      <c r="D5" s="15" t="s">
        <v>99</v>
      </c>
      <c r="E5" s="121">
        <v>645</v>
      </c>
      <c r="F5" s="121">
        <f>299050000/1000000</f>
        <v>299.05</v>
      </c>
      <c r="G5" s="120">
        <f t="shared" ref="G5:G12" si="0">IFERROR(AVERAGE(E5:F5),"")</f>
        <v>472.02499999999998</v>
      </c>
      <c r="H5" s="16" t="s">
        <v>508</v>
      </c>
      <c r="J5" s="5">
        <f>SUM(G8,G15,G16)</f>
        <v>67.5</v>
      </c>
    </row>
    <row r="6" spans="1:10" ht="40.200000000000003" thickBot="1" x14ac:dyDescent="0.3">
      <c r="A6" s="17" t="s">
        <v>100</v>
      </c>
      <c r="B6" s="18" t="s">
        <v>97</v>
      </c>
      <c r="C6" s="18" t="s">
        <v>98</v>
      </c>
      <c r="D6" s="18" t="s">
        <v>102</v>
      </c>
      <c r="E6" s="121" t="s">
        <v>2</v>
      </c>
      <c r="F6" s="121">
        <f>336000000/1000000</f>
        <v>336</v>
      </c>
      <c r="G6" s="120">
        <f t="shared" si="0"/>
        <v>336</v>
      </c>
      <c r="H6" s="16" t="s">
        <v>88</v>
      </c>
    </row>
    <row r="7" spans="1:10" ht="31.8" thickBot="1" x14ac:dyDescent="0.3">
      <c r="A7" s="17" t="s">
        <v>103</v>
      </c>
      <c r="B7" s="18" t="s">
        <v>97</v>
      </c>
      <c r="C7" s="18" t="s">
        <v>104</v>
      </c>
      <c r="D7" s="18" t="s">
        <v>102</v>
      </c>
      <c r="E7" s="122">
        <f>127000000/1000000</f>
        <v>127</v>
      </c>
      <c r="F7" s="122">
        <f>111000000/1000000</f>
        <v>111</v>
      </c>
      <c r="G7" s="120">
        <f t="shared" si="0"/>
        <v>119</v>
      </c>
      <c r="H7" s="139" t="s">
        <v>89</v>
      </c>
    </row>
    <row r="8" spans="1:10" ht="27" thickBot="1" x14ac:dyDescent="0.3">
      <c r="A8" s="17" t="s">
        <v>105</v>
      </c>
      <c r="B8" s="18" t="s">
        <v>97</v>
      </c>
      <c r="C8" s="18" t="s">
        <v>104</v>
      </c>
      <c r="D8" s="18" t="s">
        <v>102</v>
      </c>
      <c r="E8" s="122">
        <f>38000000/1000000</f>
        <v>38</v>
      </c>
      <c r="F8" s="122">
        <f>40000000/1000000</f>
        <v>40</v>
      </c>
      <c r="G8" s="120">
        <f t="shared" si="0"/>
        <v>39</v>
      </c>
      <c r="H8" s="19" t="s">
        <v>9</v>
      </c>
    </row>
    <row r="9" spans="1:10" ht="27" thickBot="1" x14ac:dyDescent="0.3">
      <c r="A9" s="17" t="s">
        <v>106</v>
      </c>
      <c r="B9" s="18" t="s">
        <v>97</v>
      </c>
      <c r="C9" s="18" t="s">
        <v>98</v>
      </c>
      <c r="D9" s="18" t="s">
        <v>102</v>
      </c>
      <c r="E9" s="121" t="s">
        <v>101</v>
      </c>
      <c r="F9" s="121" t="s">
        <v>101</v>
      </c>
      <c r="G9" s="120" t="str">
        <f t="shared" si="0"/>
        <v/>
      </c>
      <c r="H9" s="16" t="s">
        <v>27</v>
      </c>
    </row>
    <row r="10" spans="1:10" ht="27" thickBot="1" x14ac:dyDescent="0.3">
      <c r="A10" s="17" t="s">
        <v>108</v>
      </c>
      <c r="B10" s="18" t="s">
        <v>97</v>
      </c>
      <c r="C10" s="18" t="s">
        <v>104</v>
      </c>
      <c r="D10" s="18" t="s">
        <v>102</v>
      </c>
      <c r="E10" s="121" t="s">
        <v>26</v>
      </c>
      <c r="F10" s="121" t="s">
        <v>26</v>
      </c>
      <c r="G10" s="120" t="str">
        <f t="shared" si="0"/>
        <v/>
      </c>
      <c r="H10" s="20" t="s">
        <v>89</v>
      </c>
    </row>
    <row r="11" spans="1:10" ht="27" thickBot="1" x14ac:dyDescent="0.3">
      <c r="A11" s="14" t="s">
        <v>109</v>
      </c>
      <c r="B11" s="15" t="s">
        <v>97</v>
      </c>
      <c r="C11" s="15" t="s">
        <v>104</v>
      </c>
      <c r="D11" s="15" t="s">
        <v>102</v>
      </c>
      <c r="E11" s="123">
        <v>0</v>
      </c>
      <c r="F11" s="123">
        <v>0</v>
      </c>
      <c r="G11" s="120">
        <f t="shared" si="0"/>
        <v>0</v>
      </c>
      <c r="H11" s="16" t="s">
        <v>90</v>
      </c>
    </row>
    <row r="12" spans="1:10" ht="40.200000000000003" thickBot="1" x14ac:dyDescent="0.3">
      <c r="A12" s="17" t="s">
        <v>110</v>
      </c>
      <c r="B12" s="18" t="s">
        <v>97</v>
      </c>
      <c r="C12" s="18" t="s">
        <v>107</v>
      </c>
      <c r="D12" s="18" t="s">
        <v>102</v>
      </c>
      <c r="E12" s="121" t="s">
        <v>101</v>
      </c>
      <c r="F12" s="121" t="s">
        <v>101</v>
      </c>
      <c r="G12" s="120" t="str">
        <f t="shared" si="0"/>
        <v/>
      </c>
      <c r="H12" s="16" t="s">
        <v>25</v>
      </c>
    </row>
    <row r="13" spans="1:10" ht="40.200000000000003" thickBot="1" x14ac:dyDescent="0.3">
      <c r="A13" s="11" t="s">
        <v>43</v>
      </c>
      <c r="B13" s="12"/>
      <c r="C13" s="12"/>
      <c r="D13" s="12"/>
      <c r="E13" s="119"/>
      <c r="F13" s="119"/>
      <c r="G13" s="119"/>
      <c r="H13" s="13"/>
    </row>
    <row r="14" spans="1:10" ht="27" thickBot="1" x14ac:dyDescent="0.3">
      <c r="A14" s="14" t="s">
        <v>111</v>
      </c>
      <c r="B14" s="15" t="s">
        <v>112</v>
      </c>
      <c r="C14" s="15" t="s">
        <v>107</v>
      </c>
      <c r="D14" s="15" t="s">
        <v>113</v>
      </c>
      <c r="E14" s="124">
        <f>76000000/1000000</f>
        <v>76</v>
      </c>
      <c r="F14" s="124" t="s">
        <v>101</v>
      </c>
      <c r="G14" s="120">
        <f>IFERROR(AVERAGE(E14:F14),"")</f>
        <v>76</v>
      </c>
      <c r="H14" s="139" t="s">
        <v>28</v>
      </c>
    </row>
    <row r="15" spans="1:10" ht="31.8" thickBot="1" x14ac:dyDescent="0.3">
      <c r="A15" s="17" t="s">
        <v>114</v>
      </c>
      <c r="B15" s="18" t="s">
        <v>112</v>
      </c>
      <c r="C15" s="18" t="s">
        <v>115</v>
      </c>
      <c r="D15" s="18" t="s">
        <v>116</v>
      </c>
      <c r="E15" s="122">
        <v>0</v>
      </c>
      <c r="F15" s="122">
        <f>49000000/1000000</f>
        <v>49</v>
      </c>
      <c r="G15" s="120">
        <f>IFERROR(AVERAGE(E15:F15),"")</f>
        <v>24.5</v>
      </c>
      <c r="H15" s="139" t="s">
        <v>29</v>
      </c>
    </row>
    <row r="16" spans="1:10" ht="27" thickBot="1" x14ac:dyDescent="0.3">
      <c r="A16" s="17" t="s">
        <v>66</v>
      </c>
      <c r="B16" s="18" t="s">
        <v>112</v>
      </c>
      <c r="C16" s="18" t="s">
        <v>67</v>
      </c>
      <c r="D16" s="18" t="s">
        <v>113</v>
      </c>
      <c r="E16" s="122">
        <v>0</v>
      </c>
      <c r="F16" s="122">
        <f>8000000/1000000</f>
        <v>8</v>
      </c>
      <c r="G16" s="120">
        <f>IFERROR(AVERAGE(E16:F16),"")</f>
        <v>4</v>
      </c>
      <c r="H16" s="16" t="s">
        <v>29</v>
      </c>
    </row>
    <row r="17" spans="1:8" ht="27" thickBot="1" x14ac:dyDescent="0.3">
      <c r="A17" s="17" t="s">
        <v>11</v>
      </c>
      <c r="B17" s="18" t="s">
        <v>112</v>
      </c>
      <c r="C17" s="18" t="s">
        <v>115</v>
      </c>
      <c r="D17" s="18" t="s">
        <v>116</v>
      </c>
      <c r="E17" s="122" t="s">
        <v>101</v>
      </c>
      <c r="F17" s="122" t="s">
        <v>101</v>
      </c>
      <c r="G17" s="120" t="str">
        <f>IFERROR(AVERAGE(E17:F17),"")</f>
        <v/>
      </c>
      <c r="H17" s="19" t="s">
        <v>81</v>
      </c>
    </row>
    <row r="18" spans="1:8" ht="27" thickBot="1" x14ac:dyDescent="0.3">
      <c r="A18" s="17" t="s">
        <v>12</v>
      </c>
      <c r="B18" s="18" t="s">
        <v>112</v>
      </c>
      <c r="C18" s="18" t="s">
        <v>13</v>
      </c>
      <c r="D18" s="18" t="s">
        <v>99</v>
      </c>
      <c r="E18" s="122">
        <f>42000000/1000000</f>
        <v>42</v>
      </c>
      <c r="F18" s="122">
        <f>44000000/1000000</f>
        <v>44</v>
      </c>
      <c r="G18" s="120">
        <f>IFERROR(AVERAGE(E18:F18),"")</f>
        <v>43</v>
      </c>
      <c r="H18" s="21" t="s">
        <v>14</v>
      </c>
    </row>
    <row r="19" spans="1:8" ht="27" thickBot="1" x14ac:dyDescent="0.3">
      <c r="A19" s="22" t="s">
        <v>8</v>
      </c>
      <c r="B19" s="23"/>
      <c r="C19" s="24"/>
      <c r="D19" s="25"/>
      <c r="E19" s="125"/>
      <c r="F19" s="125"/>
      <c r="G19" s="141">
        <f>SUM(G5:G18)</f>
        <v>1113.5250000000001</v>
      </c>
      <c r="H19" s="25"/>
    </row>
    <row r="24" spans="1:8" x14ac:dyDescent="0.25">
      <c r="F24" s="26"/>
      <c r="G24" s="26"/>
    </row>
  </sheetData>
  <phoneticPr fontId="3" type="noConversion"/>
  <hyperlinks>
    <hyperlink ref="H5" r:id="rId1" display="https://www.gov.uk/government/uploads/system/uploads/attachment_data/file/449380/HMRC_Annual_Report_and_Accounts_2014-15_Section_3_-_Financial_statements.pdf"/>
    <hyperlink ref="H6" r:id="rId2"/>
    <hyperlink ref="H7" r:id="rId3"/>
    <hyperlink ref="H8" r:id="rId4"/>
    <hyperlink ref="H11" r:id="rId5"/>
    <hyperlink ref="H12" r:id="rId6"/>
    <hyperlink ref="H10" r:id="rId7"/>
    <hyperlink ref="H9" r:id="rId8"/>
    <hyperlink ref="H14" r:id="rId9"/>
    <hyperlink ref="H15" r:id="rId10"/>
    <hyperlink ref="H16" r:id="rId11"/>
    <hyperlink ref="H17" r:id="rId12"/>
  </hyperlinks>
  <pageMargins left="0.75" right="0.75" top="1" bottom="1" header="0.5" footer="0.5"/>
  <pageSetup paperSize="9" orientation="portrait" r:id="rId1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E7" sqref="E7"/>
    </sheetView>
  </sheetViews>
  <sheetFormatPr defaultColWidth="8.69921875" defaultRowHeight="13.2" x14ac:dyDescent="0.25"/>
  <cols>
    <col min="1" max="16384" width="8.69921875" style="3"/>
  </cols>
  <sheetData>
    <row r="1" spans="1:8" x14ac:dyDescent="0.25">
      <c r="A1" s="140" t="s">
        <v>0</v>
      </c>
      <c r="B1" s="140"/>
      <c r="C1" s="140"/>
      <c r="D1" s="140"/>
      <c r="E1" s="140"/>
      <c r="F1" s="140"/>
      <c r="G1" s="140"/>
      <c r="H1" s="140"/>
    </row>
    <row r="3" spans="1:8" x14ac:dyDescent="0.25">
      <c r="B3" s="3" t="s">
        <v>1</v>
      </c>
    </row>
  </sheetData>
  <mergeCells count="1">
    <mergeCell ref="A1:H1"/>
  </mergeCells>
  <phoneticPr fontId="3" type="noConversion"/>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26" sqref="B26"/>
    </sheetView>
  </sheetViews>
  <sheetFormatPr defaultColWidth="11" defaultRowHeight="13.2" x14ac:dyDescent="0.25"/>
  <cols>
    <col min="1" max="1" width="40.19921875" style="27" customWidth="1"/>
    <col min="2" max="2" width="11.5" style="27" customWidth="1"/>
    <col min="3" max="3" width="10.19921875" style="27" customWidth="1"/>
    <col min="4" max="4" width="13.69921875" style="27" customWidth="1"/>
    <col min="5" max="5" width="12" style="27" customWidth="1"/>
    <col min="6" max="6" width="10.19921875" style="27" customWidth="1"/>
    <col min="7" max="7" width="14.69921875" style="27" bestFit="1" customWidth="1"/>
    <col min="8" max="8" width="19.19921875" style="27" customWidth="1"/>
    <col min="9" max="16384" width="11" style="27"/>
  </cols>
  <sheetData>
    <row r="1" spans="1:8" x14ac:dyDescent="0.25">
      <c r="A1" s="6" t="s">
        <v>482</v>
      </c>
      <c r="E1" s="107"/>
      <c r="F1" s="107"/>
      <c r="G1" s="107"/>
      <c r="H1" s="107"/>
    </row>
    <row r="2" spans="1:8" ht="13.8" thickBot="1" x14ac:dyDescent="0.3"/>
    <row r="3" spans="1:8" ht="55.2" customHeight="1" thickBot="1" x14ac:dyDescent="0.3">
      <c r="A3" s="126" t="s">
        <v>44</v>
      </c>
      <c r="B3" s="127" t="s">
        <v>15</v>
      </c>
      <c r="C3" s="127" t="s">
        <v>56</v>
      </c>
      <c r="D3" s="127" t="s">
        <v>57</v>
      </c>
      <c r="E3" s="127" t="s">
        <v>58</v>
      </c>
      <c r="F3" s="128" t="s">
        <v>59</v>
      </c>
      <c r="G3" s="126" t="s">
        <v>60</v>
      </c>
      <c r="H3" s="126" t="s">
        <v>61</v>
      </c>
    </row>
    <row r="4" spans="1:8" x14ac:dyDescent="0.25">
      <c r="A4" s="104" t="s">
        <v>45</v>
      </c>
      <c r="B4" s="98"/>
      <c r="C4" s="98"/>
      <c r="D4" s="98"/>
      <c r="E4" s="98"/>
      <c r="F4" s="98"/>
      <c r="G4" s="98"/>
      <c r="H4" s="99"/>
    </row>
    <row r="5" spans="1:8" x14ac:dyDescent="0.25">
      <c r="A5" s="2" t="s">
        <v>95</v>
      </c>
      <c r="B5" s="100"/>
      <c r="C5" s="100"/>
      <c r="D5" s="100"/>
      <c r="E5" s="100"/>
      <c r="F5" s="100">
        <f>(PF_Domestic_Full!G4+PF_Domestic_Full!G5)/1000000</f>
        <v>125.81</v>
      </c>
      <c r="G5" s="100">
        <f>SUM(B5:F5)</f>
        <v>125.81</v>
      </c>
      <c r="H5" s="101">
        <f>G5/2</f>
        <v>62.905000000000001</v>
      </c>
    </row>
    <row r="6" spans="1:8" x14ac:dyDescent="0.25">
      <c r="A6" s="2" t="s">
        <v>4</v>
      </c>
      <c r="B6" s="131"/>
      <c r="C6" s="131"/>
      <c r="D6" s="131"/>
      <c r="E6" s="131">
        <v>0.04</v>
      </c>
      <c r="F6" s="131"/>
      <c r="G6" s="131">
        <v>0.04</v>
      </c>
      <c r="H6" s="132">
        <v>0.02</v>
      </c>
    </row>
    <row r="7" spans="1:8" x14ac:dyDescent="0.25">
      <c r="A7" s="129" t="s">
        <v>502</v>
      </c>
      <c r="B7" s="100">
        <v>19</v>
      </c>
      <c r="C7" s="100"/>
      <c r="D7" s="100"/>
      <c r="E7" s="115"/>
      <c r="F7" s="100"/>
      <c r="G7" s="100">
        <f>SUM(B7:F7)</f>
        <v>19</v>
      </c>
      <c r="H7" s="101">
        <v>9</v>
      </c>
    </row>
    <row r="8" spans="1:8" x14ac:dyDescent="0.25">
      <c r="A8" s="113" t="s">
        <v>96</v>
      </c>
      <c r="B8" s="114">
        <f>SUM(B5:B7)</f>
        <v>19</v>
      </c>
      <c r="C8" s="114">
        <f t="shared" ref="C8:G8" si="0">SUM(C5:C7)</f>
        <v>0</v>
      </c>
      <c r="D8" s="114">
        <f t="shared" si="0"/>
        <v>0</v>
      </c>
      <c r="E8" s="114">
        <f t="shared" si="0"/>
        <v>0.04</v>
      </c>
      <c r="F8" s="114">
        <f t="shared" si="0"/>
        <v>125.81</v>
      </c>
      <c r="G8" s="114">
        <f t="shared" si="0"/>
        <v>144.85000000000002</v>
      </c>
      <c r="H8" s="130">
        <v>72</v>
      </c>
    </row>
    <row r="9" spans="1:8" x14ac:dyDescent="0.25">
      <c r="A9" s="104" t="s">
        <v>46</v>
      </c>
      <c r="B9" s="105"/>
      <c r="C9" s="105"/>
      <c r="D9" s="105"/>
      <c r="E9" s="105"/>
      <c r="F9" s="105"/>
      <c r="G9" s="105"/>
      <c r="H9" s="106"/>
    </row>
    <row r="10" spans="1:8" x14ac:dyDescent="0.25">
      <c r="A10" s="2" t="s">
        <v>432</v>
      </c>
      <c r="B10" s="102">
        <f>PF_International_Full!B146</f>
        <v>0</v>
      </c>
      <c r="C10" s="102">
        <f>PF_International_Full!C146</f>
        <v>0</v>
      </c>
      <c r="D10" s="102">
        <f>PF_International_Full!D146</f>
        <v>1916.43</v>
      </c>
      <c r="E10" s="102">
        <f>PF_International_Full!E146</f>
        <v>871.69</v>
      </c>
      <c r="F10" s="102">
        <f>PF_International_Full!F146</f>
        <v>5190.55</v>
      </c>
      <c r="G10" s="102">
        <f>SUM(B10:F10)</f>
        <v>7978.67</v>
      </c>
      <c r="H10" s="103">
        <f>G10/2</f>
        <v>3989.335</v>
      </c>
    </row>
    <row r="11" spans="1:8" x14ac:dyDescent="0.25">
      <c r="A11" s="2" t="s">
        <v>3</v>
      </c>
      <c r="B11" s="102">
        <f>PF_International_Full!B147</f>
        <v>0</v>
      </c>
      <c r="C11" s="102">
        <f>PF_International_Full!C147</f>
        <v>0.92829430379746791</v>
      </c>
      <c r="D11" s="102">
        <f>PF_International_Full!D147</f>
        <v>865.78309059493654</v>
      </c>
      <c r="E11" s="102">
        <f>PF_International_Full!E147</f>
        <v>310.66818174683544</v>
      </c>
      <c r="F11" s="102">
        <f>PF_International_Full!F147</f>
        <v>3.1701E-2</v>
      </c>
      <c r="G11" s="102">
        <f t="shared" ref="G11:G13" si="1">SUM(B11:F11)</f>
        <v>1177.4112676455695</v>
      </c>
      <c r="H11" s="103">
        <f t="shared" ref="H11:H13" si="2">G11/2</f>
        <v>588.70563382278476</v>
      </c>
    </row>
    <row r="12" spans="1:8" x14ac:dyDescent="0.25">
      <c r="A12" s="2" t="s">
        <v>4</v>
      </c>
      <c r="B12" s="102">
        <f>PF_International_Full!B148</f>
        <v>0</v>
      </c>
      <c r="C12" s="102">
        <f>PF_International_Full!C148</f>
        <v>0</v>
      </c>
      <c r="D12" s="102">
        <f>PF_International_Full!D148</f>
        <v>19.888114999999999</v>
      </c>
      <c r="E12" s="102">
        <f>PF_International_Full!E148</f>
        <v>24.382185</v>
      </c>
      <c r="F12" s="102">
        <f>PF_International_Full!F148</f>
        <v>4.1052629999999999</v>
      </c>
      <c r="G12" s="102">
        <f t="shared" si="1"/>
        <v>48.375563</v>
      </c>
      <c r="H12" s="103">
        <f t="shared" si="2"/>
        <v>24.1877815</v>
      </c>
    </row>
    <row r="13" spans="1:8" x14ac:dyDescent="0.25">
      <c r="A13" s="2" t="s">
        <v>5</v>
      </c>
      <c r="B13" s="102">
        <f>PF_International_Full!B149</f>
        <v>0</v>
      </c>
      <c r="C13" s="102">
        <f>PF_International_Full!C149</f>
        <v>0</v>
      </c>
      <c r="D13" s="102">
        <f>PF_International_Full!D149</f>
        <v>0</v>
      </c>
      <c r="E13" s="102">
        <f>PF_International_Full!E149</f>
        <v>47.5</v>
      </c>
      <c r="F13" s="102">
        <f>PF_International_Full!F149</f>
        <v>0</v>
      </c>
      <c r="G13" s="102">
        <f t="shared" si="1"/>
        <v>47.5</v>
      </c>
      <c r="H13" s="103">
        <f t="shared" si="2"/>
        <v>23.75</v>
      </c>
    </row>
    <row r="14" spans="1:8" x14ac:dyDescent="0.25">
      <c r="A14" s="96" t="s">
        <v>6</v>
      </c>
      <c r="B14" s="108">
        <f>(454770*2)/1000000</f>
        <v>0.90954000000000002</v>
      </c>
      <c r="C14" s="108">
        <f>(25449291*2)/1000000</f>
        <v>50.898581999999998</v>
      </c>
      <c r="D14" s="108">
        <f>(191020116*2)/1000000</f>
        <v>382.040232</v>
      </c>
      <c r="E14" s="108">
        <f>(599790511*2)/1000000</f>
        <v>1199.5810220000001</v>
      </c>
      <c r="F14" s="108"/>
      <c r="G14" s="108">
        <f>B14+C14+D14+E14+F14</f>
        <v>1633.429376</v>
      </c>
      <c r="H14" s="109">
        <f>G14/2</f>
        <v>816.71468800000002</v>
      </c>
    </row>
    <row r="15" spans="1:8" x14ac:dyDescent="0.25">
      <c r="A15" s="1" t="s">
        <v>75</v>
      </c>
      <c r="B15" s="94">
        <f>SUM(B10:B14)</f>
        <v>0.90954000000000002</v>
      </c>
      <c r="C15" s="94">
        <f t="shared" ref="C15:E15" si="3">SUM(C10:C14)</f>
        <v>51.826876303797462</v>
      </c>
      <c r="D15" s="94">
        <f t="shared" si="3"/>
        <v>3184.1414375949366</v>
      </c>
      <c r="E15" s="94">
        <f t="shared" si="3"/>
        <v>2453.8213887468355</v>
      </c>
      <c r="F15" s="94">
        <f>SUM(F10:F14)</f>
        <v>5194.6869640000004</v>
      </c>
      <c r="G15" s="94">
        <f>SUM(G10:G14)</f>
        <v>10885.386206645569</v>
      </c>
      <c r="H15" s="94">
        <f>SUM(H10:H14)</f>
        <v>5442.6931033227847</v>
      </c>
    </row>
    <row r="16" spans="1:8" x14ac:dyDescent="0.25">
      <c r="A16" s="111"/>
      <c r="B16" s="112"/>
      <c r="C16" s="112"/>
      <c r="D16" s="112"/>
      <c r="E16" s="112"/>
      <c r="F16" s="112"/>
      <c r="G16" s="112"/>
      <c r="H16" s="112"/>
    </row>
    <row r="17" spans="1:8" ht="13.8" thickBot="1" x14ac:dyDescent="0.3">
      <c r="A17" s="95" t="s">
        <v>76</v>
      </c>
      <c r="B17" s="110">
        <f>B8+B15</f>
        <v>19.90954</v>
      </c>
      <c r="C17" s="110">
        <f t="shared" ref="C17:F17" si="4">C8+C15</f>
        <v>51.826876303797462</v>
      </c>
      <c r="D17" s="110">
        <f t="shared" si="4"/>
        <v>3184.1414375949366</v>
      </c>
      <c r="E17" s="110">
        <f t="shared" si="4"/>
        <v>2453.8613887468355</v>
      </c>
      <c r="F17" s="110">
        <f t="shared" si="4"/>
        <v>5320.4969640000008</v>
      </c>
      <c r="G17" s="110">
        <f>G8+G15</f>
        <v>11030.23620664557</v>
      </c>
      <c r="H17" s="110">
        <f>H8+H15</f>
        <v>5514.6931033227847</v>
      </c>
    </row>
  </sheetData>
  <phoneticPr fontId="3"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D20" sqref="D20"/>
    </sheetView>
  </sheetViews>
  <sheetFormatPr defaultColWidth="11" defaultRowHeight="13.2" x14ac:dyDescent="0.25"/>
  <cols>
    <col min="1" max="3" width="11" style="3"/>
    <col min="4" max="4" width="38.69921875" style="3" customWidth="1"/>
    <col min="5" max="6" width="11" style="3"/>
    <col min="7" max="7" width="13.69921875" style="3" bestFit="1" customWidth="1"/>
    <col min="8" max="8" width="11" style="3"/>
    <col min="9" max="9" width="80.5" style="3" customWidth="1"/>
    <col min="10" max="16384" width="11" style="3"/>
  </cols>
  <sheetData>
    <row r="1" spans="1:9" x14ac:dyDescent="0.25">
      <c r="A1" s="6" t="s">
        <v>17</v>
      </c>
    </row>
    <row r="2" spans="1:9" ht="13.8" thickBot="1" x14ac:dyDescent="0.3"/>
    <row r="3" spans="1:9" s="33" customFormat="1" ht="36" customHeight="1" thickBot="1" x14ac:dyDescent="0.3">
      <c r="A3" s="29" t="s">
        <v>53</v>
      </c>
      <c r="B3" s="30" t="s">
        <v>47</v>
      </c>
      <c r="C3" s="31" t="s">
        <v>52</v>
      </c>
      <c r="D3" s="31" t="s">
        <v>48</v>
      </c>
      <c r="E3" s="31" t="s">
        <v>49</v>
      </c>
      <c r="F3" s="31" t="s">
        <v>77</v>
      </c>
      <c r="G3" s="31" t="s">
        <v>50</v>
      </c>
      <c r="H3" s="31" t="s">
        <v>51</v>
      </c>
      <c r="I3" s="32" t="s">
        <v>78</v>
      </c>
    </row>
    <row r="4" spans="1:9" s="33" customFormat="1" x14ac:dyDescent="0.25">
      <c r="A4" s="3" t="s">
        <v>79</v>
      </c>
      <c r="B4" s="34" t="s">
        <v>80</v>
      </c>
      <c r="C4" s="35" t="s">
        <v>30</v>
      </c>
      <c r="D4" s="35" t="s">
        <v>82</v>
      </c>
      <c r="E4" s="36" t="s">
        <v>83</v>
      </c>
      <c r="F4" s="35" t="s">
        <v>84</v>
      </c>
      <c r="G4" s="37">
        <v>60000000</v>
      </c>
      <c r="H4" s="35">
        <v>2013</v>
      </c>
      <c r="I4" s="38" t="s">
        <v>129</v>
      </c>
    </row>
    <row r="5" spans="1:9" s="33" customFormat="1" x14ac:dyDescent="0.25">
      <c r="A5" s="3" t="s">
        <v>79</v>
      </c>
      <c r="B5" s="28" t="s">
        <v>130</v>
      </c>
      <c r="C5" s="39" t="s">
        <v>30</v>
      </c>
      <c r="D5" s="39" t="s">
        <v>85</v>
      </c>
      <c r="E5" s="39" t="s">
        <v>83</v>
      </c>
      <c r="F5" s="39" t="s">
        <v>86</v>
      </c>
      <c r="G5" s="40">
        <v>65810000</v>
      </c>
      <c r="H5" s="41">
        <v>2013</v>
      </c>
      <c r="I5" s="42" t="s">
        <v>87</v>
      </c>
    </row>
    <row r="6" spans="1:9" s="43" customFormat="1" x14ac:dyDescent="0.25">
      <c r="A6" s="43" t="s">
        <v>122</v>
      </c>
      <c r="B6" s="44" t="s">
        <v>123</v>
      </c>
      <c r="C6" s="45" t="s">
        <v>124</v>
      </c>
      <c r="D6" s="45" t="s">
        <v>68</v>
      </c>
      <c r="E6" s="39" t="s">
        <v>69</v>
      </c>
      <c r="F6" s="45" t="s">
        <v>70</v>
      </c>
      <c r="G6" s="46">
        <v>46164</v>
      </c>
      <c r="H6" s="47">
        <v>2013</v>
      </c>
      <c r="I6" s="48" t="s">
        <v>71</v>
      </c>
    </row>
    <row r="7" spans="1:9" s="43" customFormat="1" x14ac:dyDescent="0.25">
      <c r="A7" s="43" t="s">
        <v>495</v>
      </c>
      <c r="B7" s="44" t="s">
        <v>497</v>
      </c>
      <c r="C7" s="45" t="s">
        <v>124</v>
      </c>
      <c r="D7" s="45" t="s">
        <v>498</v>
      </c>
      <c r="E7" s="39" t="s">
        <v>13</v>
      </c>
      <c r="F7" s="45" t="s">
        <v>84</v>
      </c>
      <c r="G7" s="46">
        <v>6390000</v>
      </c>
      <c r="H7" s="47">
        <v>2014</v>
      </c>
      <c r="I7" s="48" t="s">
        <v>496</v>
      </c>
    </row>
    <row r="8" spans="1:9" s="43" customFormat="1" x14ac:dyDescent="0.25">
      <c r="A8" s="43" t="s">
        <v>495</v>
      </c>
      <c r="B8" s="44" t="s">
        <v>499</v>
      </c>
      <c r="C8" s="45" t="s">
        <v>124</v>
      </c>
      <c r="D8" s="45" t="s">
        <v>500</v>
      </c>
      <c r="E8" s="39" t="s">
        <v>13</v>
      </c>
      <c r="F8" s="45" t="s">
        <v>84</v>
      </c>
      <c r="G8" s="46">
        <v>12660000</v>
      </c>
      <c r="H8" s="47">
        <v>2014</v>
      </c>
      <c r="I8" s="48" t="s">
        <v>501</v>
      </c>
    </row>
    <row r="9" spans="1:9" x14ac:dyDescent="0.25">
      <c r="G9" s="97">
        <f>SUM(G4:G8)</f>
        <v>144906164</v>
      </c>
    </row>
    <row r="10" spans="1:9" x14ac:dyDescent="0.25">
      <c r="G10" s="97"/>
    </row>
  </sheetData>
  <phoneticPr fontId="3" type="noConversion"/>
  <hyperlinks>
    <hyperlink ref="I5"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workbookViewId="0">
      <selection activeCell="A2" sqref="A2"/>
    </sheetView>
  </sheetViews>
  <sheetFormatPr defaultColWidth="10.69921875" defaultRowHeight="13.2" x14ac:dyDescent="0.25"/>
  <cols>
    <col min="1" max="1" width="20" style="33" customWidth="1"/>
    <col min="2" max="2" width="28.69921875" style="33" customWidth="1"/>
    <col min="3" max="3" width="12.19921875" style="33" customWidth="1"/>
    <col min="4" max="4" width="50.69921875" style="33" customWidth="1"/>
    <col min="5" max="6" width="12.19921875" style="33" customWidth="1"/>
    <col min="7" max="7" width="18.5" style="69" customWidth="1"/>
    <col min="8" max="8" width="12.19921875" style="33" customWidth="1"/>
    <col min="9" max="9" width="19.5" style="33" customWidth="1"/>
    <col min="10" max="16384" width="10.69921875" style="33"/>
  </cols>
  <sheetData>
    <row r="1" spans="1:9" x14ac:dyDescent="0.25">
      <c r="A1" s="6" t="s">
        <v>16</v>
      </c>
    </row>
    <row r="2" spans="1:9" ht="13.8" thickBot="1" x14ac:dyDescent="0.3"/>
    <row r="3" spans="1:9" ht="36" customHeight="1" thickBot="1" x14ac:dyDescent="0.3">
      <c r="A3" s="30" t="s">
        <v>53</v>
      </c>
      <c r="B3" s="31" t="s">
        <v>47</v>
      </c>
      <c r="C3" s="31" t="s">
        <v>52</v>
      </c>
      <c r="D3" s="31" t="s">
        <v>48</v>
      </c>
      <c r="E3" s="31" t="s">
        <v>49</v>
      </c>
      <c r="F3" s="31" t="s">
        <v>77</v>
      </c>
      <c r="G3" s="70" t="s">
        <v>50</v>
      </c>
      <c r="H3" s="31" t="s">
        <v>51</v>
      </c>
      <c r="I3" s="32" t="s">
        <v>78</v>
      </c>
    </row>
    <row r="4" spans="1:9" x14ac:dyDescent="0.25">
      <c r="A4" s="71" t="s">
        <v>79</v>
      </c>
      <c r="B4" s="72" t="s">
        <v>72</v>
      </c>
      <c r="C4" s="35" t="s">
        <v>73</v>
      </c>
      <c r="D4" s="35" t="s">
        <v>117</v>
      </c>
      <c r="E4" s="35" t="s">
        <v>118</v>
      </c>
      <c r="F4" s="35" t="s">
        <v>86</v>
      </c>
      <c r="G4" s="37">
        <v>69000000</v>
      </c>
      <c r="H4" s="35">
        <v>2013</v>
      </c>
      <c r="I4" s="38" t="s">
        <v>119</v>
      </c>
    </row>
    <row r="5" spans="1:9" x14ac:dyDescent="0.25">
      <c r="A5" s="73" t="s">
        <v>79</v>
      </c>
      <c r="B5" s="74" t="s">
        <v>120</v>
      </c>
      <c r="C5" s="39" t="s">
        <v>121</v>
      </c>
      <c r="D5" s="39" t="s">
        <v>94</v>
      </c>
      <c r="E5" s="47" t="s">
        <v>83</v>
      </c>
      <c r="F5" s="35" t="s">
        <v>86</v>
      </c>
      <c r="G5" s="40">
        <v>143880000</v>
      </c>
      <c r="H5" s="39">
        <v>2013</v>
      </c>
      <c r="I5" s="75" t="s">
        <v>137</v>
      </c>
    </row>
    <row r="6" spans="1:9" x14ac:dyDescent="0.25">
      <c r="A6" s="73" t="s">
        <v>79</v>
      </c>
      <c r="B6" s="74" t="s">
        <v>138</v>
      </c>
      <c r="C6" s="39" t="s">
        <v>121</v>
      </c>
      <c r="D6" s="76" t="s">
        <v>131</v>
      </c>
      <c r="E6" s="47" t="s">
        <v>83</v>
      </c>
      <c r="F6" s="35" t="s">
        <v>86</v>
      </c>
      <c r="G6" s="40">
        <v>502090000</v>
      </c>
      <c r="H6" s="39">
        <v>2013</v>
      </c>
      <c r="I6" s="75" t="s">
        <v>132</v>
      </c>
    </row>
    <row r="7" spans="1:9" x14ac:dyDescent="0.25">
      <c r="A7" s="73" t="s">
        <v>79</v>
      </c>
      <c r="B7" s="49" t="s">
        <v>133</v>
      </c>
      <c r="C7" s="39" t="s">
        <v>134</v>
      </c>
      <c r="D7" s="39" t="s">
        <v>135</v>
      </c>
      <c r="E7" s="39" t="s">
        <v>83</v>
      </c>
      <c r="F7" s="39" t="s">
        <v>136</v>
      </c>
      <c r="G7" s="40">
        <v>116370000</v>
      </c>
      <c r="H7" s="41">
        <v>2013</v>
      </c>
      <c r="I7" s="42" t="s">
        <v>91</v>
      </c>
    </row>
    <row r="8" spans="1:9" x14ac:dyDescent="0.25">
      <c r="A8" s="73" t="s">
        <v>79</v>
      </c>
      <c r="B8" s="39" t="s">
        <v>92</v>
      </c>
      <c r="C8" s="39" t="s">
        <v>93</v>
      </c>
      <c r="D8" s="39" t="s">
        <v>125</v>
      </c>
      <c r="E8" s="39" t="s">
        <v>83</v>
      </c>
      <c r="F8" s="39" t="s">
        <v>136</v>
      </c>
      <c r="G8" s="40">
        <v>24390000</v>
      </c>
      <c r="H8" s="41">
        <v>2013</v>
      </c>
      <c r="I8" s="42" t="s">
        <v>126</v>
      </c>
    </row>
    <row r="9" spans="1:9" x14ac:dyDescent="0.25">
      <c r="A9" s="73" t="s">
        <v>79</v>
      </c>
      <c r="B9" s="74" t="s">
        <v>127</v>
      </c>
      <c r="C9" s="39" t="s">
        <v>128</v>
      </c>
      <c r="D9" s="39" t="s">
        <v>143</v>
      </c>
      <c r="E9" s="47" t="s">
        <v>83</v>
      </c>
      <c r="F9" s="39" t="s">
        <v>86</v>
      </c>
      <c r="G9" s="40">
        <v>66380000</v>
      </c>
      <c r="H9" s="39">
        <v>2013</v>
      </c>
      <c r="I9" s="75" t="s">
        <v>144</v>
      </c>
    </row>
    <row r="10" spans="1:9" x14ac:dyDescent="0.25">
      <c r="A10" s="73" t="s">
        <v>79</v>
      </c>
      <c r="B10" s="74" t="s">
        <v>145</v>
      </c>
      <c r="C10" s="39" t="s">
        <v>33</v>
      </c>
      <c r="D10" s="39" t="s">
        <v>139</v>
      </c>
      <c r="E10" s="47" t="s">
        <v>83</v>
      </c>
      <c r="F10" s="39" t="s">
        <v>86</v>
      </c>
      <c r="G10" s="40">
        <v>133330000</v>
      </c>
      <c r="H10" s="39">
        <v>2013</v>
      </c>
      <c r="I10" s="42" t="s">
        <v>140</v>
      </c>
    </row>
    <row r="11" spans="1:9" x14ac:dyDescent="0.25">
      <c r="A11" s="73" t="s">
        <v>79</v>
      </c>
      <c r="B11" s="49" t="s">
        <v>141</v>
      </c>
      <c r="C11" s="39" t="s">
        <v>142</v>
      </c>
      <c r="D11" s="39" t="s">
        <v>146</v>
      </c>
      <c r="E11" s="39" t="s">
        <v>83</v>
      </c>
      <c r="F11" s="39" t="s">
        <v>136</v>
      </c>
      <c r="G11" s="40">
        <v>42820000</v>
      </c>
      <c r="H11" s="41">
        <v>2013</v>
      </c>
      <c r="I11" s="42" t="s">
        <v>147</v>
      </c>
    </row>
    <row r="12" spans="1:9" x14ac:dyDescent="0.25">
      <c r="A12" s="73" t="s">
        <v>79</v>
      </c>
      <c r="B12" s="74" t="s">
        <v>148</v>
      </c>
      <c r="C12" s="39" t="s">
        <v>149</v>
      </c>
      <c r="D12" s="76" t="s">
        <v>150</v>
      </c>
      <c r="E12" s="47" t="s">
        <v>83</v>
      </c>
      <c r="F12" s="39" t="s">
        <v>84</v>
      </c>
      <c r="G12" s="40">
        <v>50940000</v>
      </c>
      <c r="H12" s="39">
        <v>2013</v>
      </c>
      <c r="I12" s="75" t="s">
        <v>151</v>
      </c>
    </row>
    <row r="13" spans="1:9" x14ac:dyDescent="0.25">
      <c r="A13" s="73" t="s">
        <v>79</v>
      </c>
      <c r="B13" s="39" t="s">
        <v>152</v>
      </c>
      <c r="C13" s="39" t="s">
        <v>153</v>
      </c>
      <c r="D13" s="39" t="s">
        <v>160</v>
      </c>
      <c r="E13" s="39" t="s">
        <v>83</v>
      </c>
      <c r="F13" s="39" t="s">
        <v>86</v>
      </c>
      <c r="G13" s="40">
        <v>138010000</v>
      </c>
      <c r="H13" s="41">
        <v>2013</v>
      </c>
      <c r="I13" s="42" t="s">
        <v>161</v>
      </c>
    </row>
    <row r="14" spans="1:9" x14ac:dyDescent="0.25">
      <c r="A14" s="73" t="s">
        <v>79</v>
      </c>
      <c r="B14" s="39" t="s">
        <v>162</v>
      </c>
      <c r="C14" s="39" t="s">
        <v>163</v>
      </c>
      <c r="D14" s="39" t="s">
        <v>190</v>
      </c>
      <c r="E14" s="39" t="s">
        <v>83</v>
      </c>
      <c r="F14" s="39" t="s">
        <v>84</v>
      </c>
      <c r="G14" s="40">
        <v>153570000</v>
      </c>
      <c r="H14" s="41">
        <v>2013</v>
      </c>
      <c r="I14" s="75" t="s">
        <v>191</v>
      </c>
    </row>
    <row r="15" spans="1:9" x14ac:dyDescent="0.25">
      <c r="A15" s="73" t="s">
        <v>79</v>
      </c>
      <c r="B15" s="74" t="s">
        <v>192</v>
      </c>
      <c r="C15" s="39" t="s">
        <v>134</v>
      </c>
      <c r="D15" s="39" t="s">
        <v>154</v>
      </c>
      <c r="E15" s="47" t="s">
        <v>83</v>
      </c>
      <c r="F15" s="39" t="s">
        <v>84</v>
      </c>
      <c r="G15" s="40">
        <v>150000000</v>
      </c>
      <c r="H15" s="39">
        <v>2013</v>
      </c>
      <c r="I15" s="75" t="s">
        <v>155</v>
      </c>
    </row>
    <row r="16" spans="1:9" x14ac:dyDescent="0.25">
      <c r="A16" s="73" t="s">
        <v>79</v>
      </c>
      <c r="B16" s="74" t="s">
        <v>156</v>
      </c>
      <c r="C16" s="39" t="s">
        <v>157</v>
      </c>
      <c r="D16" s="76" t="s">
        <v>158</v>
      </c>
      <c r="E16" s="47" t="s">
        <v>83</v>
      </c>
      <c r="F16" s="39" t="s">
        <v>84</v>
      </c>
      <c r="G16" s="40">
        <v>153570000</v>
      </c>
      <c r="H16" s="39">
        <v>2013</v>
      </c>
      <c r="I16" s="75" t="s">
        <v>191</v>
      </c>
    </row>
    <row r="17" spans="1:9" x14ac:dyDescent="0.25">
      <c r="A17" s="73" t="s">
        <v>79</v>
      </c>
      <c r="B17" s="74" t="s">
        <v>159</v>
      </c>
      <c r="C17" s="39" t="s">
        <v>134</v>
      </c>
      <c r="D17" s="39" t="s">
        <v>174</v>
      </c>
      <c r="E17" s="47" t="s">
        <v>83</v>
      </c>
      <c r="F17" s="39" t="s">
        <v>84</v>
      </c>
      <c r="G17" s="40">
        <v>102500000</v>
      </c>
      <c r="H17" s="39">
        <v>2013</v>
      </c>
      <c r="I17" s="75" t="s">
        <v>175</v>
      </c>
    </row>
    <row r="18" spans="1:9" x14ac:dyDescent="0.25">
      <c r="A18" s="73" t="s">
        <v>79</v>
      </c>
      <c r="B18" s="74" t="s">
        <v>176</v>
      </c>
      <c r="C18" s="39" t="s">
        <v>33</v>
      </c>
      <c r="D18" s="39" t="s">
        <v>182</v>
      </c>
      <c r="E18" s="47" t="s">
        <v>83</v>
      </c>
      <c r="F18" s="39" t="s">
        <v>84</v>
      </c>
      <c r="G18" s="40">
        <v>10380000</v>
      </c>
      <c r="H18" s="39">
        <v>2013</v>
      </c>
      <c r="I18" s="75" t="s">
        <v>183</v>
      </c>
    </row>
    <row r="19" spans="1:9" x14ac:dyDescent="0.25">
      <c r="A19" s="73" t="s">
        <v>79</v>
      </c>
      <c r="B19" s="77" t="s">
        <v>184</v>
      </c>
      <c r="C19" s="49" t="s">
        <v>157</v>
      </c>
      <c r="D19" s="76" t="s">
        <v>185</v>
      </c>
      <c r="E19" s="49" t="s">
        <v>186</v>
      </c>
      <c r="F19" s="49" t="s">
        <v>7</v>
      </c>
      <c r="G19" s="40">
        <v>100000000</v>
      </c>
      <c r="H19" s="39">
        <v>2014</v>
      </c>
      <c r="I19" s="75" t="s">
        <v>187</v>
      </c>
    </row>
    <row r="20" spans="1:9" x14ac:dyDescent="0.25">
      <c r="A20" s="73" t="s">
        <v>79</v>
      </c>
      <c r="B20" s="74" t="s">
        <v>168</v>
      </c>
      <c r="C20" s="39" t="s">
        <v>169</v>
      </c>
      <c r="D20" s="76" t="s">
        <v>170</v>
      </c>
      <c r="E20" s="47" t="s">
        <v>83</v>
      </c>
      <c r="F20" s="39" t="s">
        <v>84</v>
      </c>
      <c r="G20" s="40">
        <v>73080000</v>
      </c>
      <c r="H20" s="39">
        <v>2014</v>
      </c>
      <c r="I20" s="75" t="s">
        <v>171</v>
      </c>
    </row>
    <row r="21" spans="1:9" x14ac:dyDescent="0.25">
      <c r="A21" s="73" t="s">
        <v>79</v>
      </c>
      <c r="B21" s="74" t="s">
        <v>172</v>
      </c>
      <c r="C21" s="39" t="s">
        <v>189</v>
      </c>
      <c r="D21" s="76" t="s">
        <v>201</v>
      </c>
      <c r="E21" s="47" t="s">
        <v>83</v>
      </c>
      <c r="F21" s="39" t="s">
        <v>84</v>
      </c>
      <c r="G21" s="40">
        <v>8570000</v>
      </c>
      <c r="H21" s="39">
        <v>2014</v>
      </c>
      <c r="I21" s="75" t="s">
        <v>202</v>
      </c>
    </row>
    <row r="22" spans="1:9" x14ac:dyDescent="0.25">
      <c r="A22" s="73" t="s">
        <v>79</v>
      </c>
      <c r="B22" s="39" t="s">
        <v>164</v>
      </c>
      <c r="C22" s="39" t="s">
        <v>33</v>
      </c>
      <c r="D22" s="39" t="s">
        <v>165</v>
      </c>
      <c r="E22" s="39" t="s">
        <v>83</v>
      </c>
      <c r="F22" s="39" t="s">
        <v>166</v>
      </c>
      <c r="G22" s="40">
        <v>25000000</v>
      </c>
      <c r="H22" s="41">
        <v>2014</v>
      </c>
      <c r="I22" s="42" t="s">
        <v>167</v>
      </c>
    </row>
    <row r="23" spans="1:9" x14ac:dyDescent="0.25">
      <c r="A23" s="73" t="s">
        <v>79</v>
      </c>
      <c r="B23" s="74" t="s">
        <v>180</v>
      </c>
      <c r="C23" s="39" t="s">
        <v>181</v>
      </c>
      <c r="D23" s="76" t="s">
        <v>177</v>
      </c>
      <c r="E23" s="47" t="s">
        <v>83</v>
      </c>
      <c r="F23" s="39" t="s">
        <v>86</v>
      </c>
      <c r="G23" s="40">
        <v>52170000</v>
      </c>
      <c r="H23" s="39">
        <v>2014</v>
      </c>
      <c r="I23" s="42" t="s">
        <v>178</v>
      </c>
    </row>
    <row r="24" spans="1:9" x14ac:dyDescent="0.25">
      <c r="A24" s="73" t="s">
        <v>79</v>
      </c>
      <c r="B24" s="74" t="s">
        <v>179</v>
      </c>
      <c r="C24" s="39" t="s">
        <v>181</v>
      </c>
      <c r="D24" s="76" t="s">
        <v>173</v>
      </c>
      <c r="E24" s="47" t="s">
        <v>83</v>
      </c>
      <c r="F24" s="39" t="s">
        <v>86</v>
      </c>
      <c r="G24" s="40">
        <v>2979500000</v>
      </c>
      <c r="H24" s="39">
        <v>2014</v>
      </c>
      <c r="I24" s="42" t="s">
        <v>195</v>
      </c>
    </row>
    <row r="25" spans="1:9" x14ac:dyDescent="0.25">
      <c r="A25" s="73" t="s">
        <v>79</v>
      </c>
      <c r="B25" s="74" t="s">
        <v>196</v>
      </c>
      <c r="C25" s="39" t="s">
        <v>134</v>
      </c>
      <c r="D25" s="76" t="s">
        <v>188</v>
      </c>
      <c r="E25" s="47" t="s">
        <v>83</v>
      </c>
      <c r="F25" s="39" t="s">
        <v>84</v>
      </c>
      <c r="G25" s="40">
        <v>20000000</v>
      </c>
      <c r="H25" s="39">
        <v>2014</v>
      </c>
      <c r="I25" s="75" t="s">
        <v>211</v>
      </c>
    </row>
    <row r="26" spans="1:9" x14ac:dyDescent="0.25">
      <c r="A26" s="73" t="s">
        <v>79</v>
      </c>
      <c r="B26" s="74" t="s">
        <v>212</v>
      </c>
      <c r="C26" s="39" t="s">
        <v>33</v>
      </c>
      <c r="D26" s="76" t="s">
        <v>213</v>
      </c>
      <c r="E26" s="47" t="s">
        <v>83</v>
      </c>
      <c r="F26" s="39" t="s">
        <v>84</v>
      </c>
      <c r="G26" s="40">
        <v>4700000</v>
      </c>
      <c r="H26" s="39">
        <v>2014</v>
      </c>
      <c r="I26" s="75" t="s">
        <v>214</v>
      </c>
    </row>
    <row r="27" spans="1:9" x14ac:dyDescent="0.25">
      <c r="A27" s="73" t="s">
        <v>79</v>
      </c>
      <c r="B27" s="74" t="s">
        <v>215</v>
      </c>
      <c r="C27" s="39" t="s">
        <v>216</v>
      </c>
      <c r="D27" s="76" t="s">
        <v>193</v>
      </c>
      <c r="E27" s="47" t="s">
        <v>83</v>
      </c>
      <c r="F27" s="39" t="s">
        <v>86</v>
      </c>
      <c r="G27" s="40">
        <v>188230000</v>
      </c>
      <c r="H27" s="39">
        <v>2014</v>
      </c>
      <c r="I27" s="75" t="s">
        <v>194</v>
      </c>
    </row>
    <row r="28" spans="1:9" x14ac:dyDescent="0.25">
      <c r="A28" s="73" t="s">
        <v>79</v>
      </c>
      <c r="B28" s="74" t="s">
        <v>224</v>
      </c>
      <c r="C28" s="39" t="s">
        <v>169</v>
      </c>
      <c r="D28" s="78" t="s">
        <v>225</v>
      </c>
      <c r="E28" s="47" t="s">
        <v>83</v>
      </c>
      <c r="F28" s="39" t="s">
        <v>84</v>
      </c>
      <c r="G28" s="40">
        <v>11420000</v>
      </c>
      <c r="H28" s="39">
        <v>2014</v>
      </c>
      <c r="I28" s="75" t="s">
        <v>226</v>
      </c>
    </row>
    <row r="29" spans="1:9" x14ac:dyDescent="0.25">
      <c r="A29" s="73" t="s">
        <v>79</v>
      </c>
      <c r="B29" s="74" t="s">
        <v>227</v>
      </c>
      <c r="C29" s="39" t="s">
        <v>228</v>
      </c>
      <c r="D29" s="78" t="s">
        <v>203</v>
      </c>
      <c r="E29" s="47" t="s">
        <v>83</v>
      </c>
      <c r="F29" s="39" t="s">
        <v>86</v>
      </c>
      <c r="G29" s="40">
        <v>158270000</v>
      </c>
      <c r="H29" s="39">
        <v>2014</v>
      </c>
      <c r="I29" s="75" t="s">
        <v>204</v>
      </c>
    </row>
    <row r="30" spans="1:9" x14ac:dyDescent="0.25">
      <c r="A30" s="73" t="s">
        <v>79</v>
      </c>
      <c r="B30" s="74" t="s">
        <v>205</v>
      </c>
      <c r="C30" s="39" t="s">
        <v>33</v>
      </c>
      <c r="D30" s="39" t="s">
        <v>197</v>
      </c>
      <c r="E30" s="47" t="s">
        <v>83</v>
      </c>
      <c r="F30" s="39" t="s">
        <v>86</v>
      </c>
      <c r="G30" s="40">
        <v>18180000</v>
      </c>
      <c r="H30" s="39">
        <v>2014</v>
      </c>
      <c r="I30" s="75" t="s">
        <v>198</v>
      </c>
    </row>
    <row r="31" spans="1:9" x14ac:dyDescent="0.25">
      <c r="A31" s="73" t="s">
        <v>79</v>
      </c>
      <c r="B31" s="74" t="s">
        <v>199</v>
      </c>
      <c r="C31" s="39" t="s">
        <v>200</v>
      </c>
      <c r="D31" s="76" t="s">
        <v>217</v>
      </c>
      <c r="E31" s="47" t="s">
        <v>83</v>
      </c>
      <c r="F31" s="39" t="s">
        <v>86</v>
      </c>
      <c r="G31" s="40">
        <v>72770000</v>
      </c>
      <c r="H31" s="39">
        <v>2014</v>
      </c>
      <c r="I31" s="75" t="s">
        <v>218</v>
      </c>
    </row>
    <row r="32" spans="1:9" x14ac:dyDescent="0.25">
      <c r="A32" s="73" t="s">
        <v>79</v>
      </c>
      <c r="B32" s="74" t="s">
        <v>219</v>
      </c>
      <c r="C32" s="39" t="s">
        <v>169</v>
      </c>
      <c r="D32" s="49" t="s">
        <v>206</v>
      </c>
      <c r="E32" s="49" t="s">
        <v>83</v>
      </c>
      <c r="F32" s="49" t="s">
        <v>207</v>
      </c>
      <c r="G32" s="40">
        <v>50000000</v>
      </c>
      <c r="H32" s="39">
        <v>2014</v>
      </c>
      <c r="I32" s="75" t="s">
        <v>208</v>
      </c>
    </row>
    <row r="33" spans="1:9" x14ac:dyDescent="0.25">
      <c r="A33" s="73" t="s">
        <v>79</v>
      </c>
      <c r="B33" s="74" t="s">
        <v>209</v>
      </c>
      <c r="C33" s="39" t="s">
        <v>210</v>
      </c>
      <c r="D33" s="76" t="s">
        <v>233</v>
      </c>
      <c r="E33" s="47" t="s">
        <v>83</v>
      </c>
      <c r="F33" s="39" t="s">
        <v>84</v>
      </c>
      <c r="G33" s="40">
        <v>133600000</v>
      </c>
      <c r="H33" s="39">
        <v>2014</v>
      </c>
      <c r="I33" s="75" t="s">
        <v>234</v>
      </c>
    </row>
    <row r="34" spans="1:9" x14ac:dyDescent="0.25">
      <c r="A34" s="73" t="s">
        <v>79</v>
      </c>
      <c r="B34" s="77" t="s">
        <v>235</v>
      </c>
      <c r="C34" s="39" t="s">
        <v>169</v>
      </c>
      <c r="D34" s="39" t="s">
        <v>229</v>
      </c>
      <c r="E34" s="39" t="s">
        <v>83</v>
      </c>
      <c r="F34" s="39" t="s">
        <v>136</v>
      </c>
      <c r="G34" s="40">
        <v>20000000</v>
      </c>
      <c r="H34" s="41">
        <v>2014</v>
      </c>
      <c r="I34" s="75" t="s">
        <v>230</v>
      </c>
    </row>
    <row r="35" spans="1:9" x14ac:dyDescent="0.25">
      <c r="A35" s="73" t="s">
        <v>79</v>
      </c>
      <c r="B35" s="74" t="s">
        <v>231</v>
      </c>
      <c r="C35" s="39" t="s">
        <v>33</v>
      </c>
      <c r="D35" s="39" t="s">
        <v>220</v>
      </c>
      <c r="E35" s="47" t="s">
        <v>83</v>
      </c>
      <c r="F35" s="39" t="s">
        <v>221</v>
      </c>
      <c r="G35" s="40">
        <v>400000000</v>
      </c>
      <c r="H35" s="39">
        <v>2014</v>
      </c>
      <c r="I35" s="75" t="s">
        <v>222</v>
      </c>
    </row>
    <row r="36" spans="1:9" x14ac:dyDescent="0.25">
      <c r="A36" s="73" t="s">
        <v>79</v>
      </c>
      <c r="B36" s="74" t="s">
        <v>223</v>
      </c>
      <c r="C36" s="39" t="s">
        <v>142</v>
      </c>
      <c r="D36" s="39" t="s">
        <v>244</v>
      </c>
      <c r="E36" s="47" t="s">
        <v>83</v>
      </c>
      <c r="F36" s="39" t="s">
        <v>221</v>
      </c>
      <c r="G36" s="40">
        <v>186370000</v>
      </c>
      <c r="H36" s="39">
        <v>2014</v>
      </c>
      <c r="I36" s="75" t="s">
        <v>239</v>
      </c>
    </row>
    <row r="37" spans="1:9" x14ac:dyDescent="0.25">
      <c r="A37" s="73" t="s">
        <v>79</v>
      </c>
      <c r="B37" s="74" t="s">
        <v>240</v>
      </c>
      <c r="C37" s="39" t="s">
        <v>30</v>
      </c>
      <c r="D37" s="39" t="s">
        <v>241</v>
      </c>
      <c r="E37" s="47" t="s">
        <v>83</v>
      </c>
      <c r="F37" s="39" t="s">
        <v>84</v>
      </c>
      <c r="G37" s="40">
        <v>982600000</v>
      </c>
      <c r="H37" s="39">
        <v>2014</v>
      </c>
      <c r="I37" s="75" t="s">
        <v>242</v>
      </c>
    </row>
    <row r="38" spans="1:9" x14ac:dyDescent="0.25">
      <c r="A38" s="73" t="s">
        <v>79</v>
      </c>
      <c r="B38" s="77" t="s">
        <v>243</v>
      </c>
      <c r="C38" s="39" t="s">
        <v>169</v>
      </c>
      <c r="D38" s="39" t="s">
        <v>232</v>
      </c>
      <c r="E38" s="39" t="s">
        <v>83</v>
      </c>
      <c r="F38" s="39" t="s">
        <v>136</v>
      </c>
      <c r="G38" s="40">
        <v>56740000</v>
      </c>
      <c r="H38" s="41">
        <v>2014</v>
      </c>
      <c r="I38" s="75" t="s">
        <v>236</v>
      </c>
    </row>
    <row r="39" spans="1:9" x14ac:dyDescent="0.25">
      <c r="A39" s="73" t="s">
        <v>79</v>
      </c>
      <c r="B39" s="74" t="s">
        <v>237</v>
      </c>
      <c r="C39" s="39" t="s">
        <v>142</v>
      </c>
      <c r="D39" s="39" t="s">
        <v>238</v>
      </c>
      <c r="E39" s="47" t="s">
        <v>83</v>
      </c>
      <c r="F39" s="39" t="s">
        <v>86</v>
      </c>
      <c r="G39" s="40">
        <v>217810000</v>
      </c>
      <c r="H39" s="39">
        <v>2014</v>
      </c>
      <c r="I39" s="75" t="s">
        <v>258</v>
      </c>
    </row>
    <row r="40" spans="1:9" x14ac:dyDescent="0.25">
      <c r="A40" s="73" t="s">
        <v>79</v>
      </c>
      <c r="B40" s="74" t="s">
        <v>259</v>
      </c>
      <c r="C40" s="39" t="s">
        <v>260</v>
      </c>
      <c r="D40" s="76" t="s">
        <v>255</v>
      </c>
      <c r="E40" s="47" t="s">
        <v>83</v>
      </c>
      <c r="F40" s="47" t="s">
        <v>86</v>
      </c>
      <c r="G40" s="40">
        <v>88040000</v>
      </c>
      <c r="H40" s="39">
        <v>2014</v>
      </c>
      <c r="I40" s="75" t="s">
        <v>256</v>
      </c>
    </row>
    <row r="41" spans="1:9" x14ac:dyDescent="0.25">
      <c r="A41" s="73" t="s">
        <v>79</v>
      </c>
      <c r="B41" s="74" t="s">
        <v>257</v>
      </c>
      <c r="C41" s="39" t="s">
        <v>33</v>
      </c>
      <c r="D41" s="39" t="s">
        <v>290</v>
      </c>
      <c r="E41" s="47" t="s">
        <v>83</v>
      </c>
      <c r="F41" s="39" t="s">
        <v>84</v>
      </c>
      <c r="G41" s="40">
        <v>48000000</v>
      </c>
      <c r="H41" s="39">
        <v>2014</v>
      </c>
      <c r="I41" s="42" t="s">
        <v>291</v>
      </c>
    </row>
    <row r="42" spans="1:9" x14ac:dyDescent="0.25">
      <c r="A42" s="73" t="s">
        <v>79</v>
      </c>
      <c r="B42" s="74" t="s">
        <v>292</v>
      </c>
      <c r="C42" s="39" t="s">
        <v>210</v>
      </c>
      <c r="D42" s="39" t="s">
        <v>304</v>
      </c>
      <c r="E42" s="47" t="s">
        <v>83</v>
      </c>
      <c r="F42" s="39" t="s">
        <v>84</v>
      </c>
      <c r="G42" s="40">
        <v>13500000</v>
      </c>
      <c r="H42" s="39">
        <v>2014</v>
      </c>
      <c r="I42" s="75" t="s">
        <v>305</v>
      </c>
    </row>
    <row r="43" spans="1:9" x14ac:dyDescent="0.25">
      <c r="A43" s="73" t="s">
        <v>79</v>
      </c>
      <c r="B43" s="74" t="s">
        <v>306</v>
      </c>
      <c r="C43" s="39" t="s">
        <v>169</v>
      </c>
      <c r="D43" s="76" t="s">
        <v>277</v>
      </c>
      <c r="E43" s="47" t="s">
        <v>83</v>
      </c>
      <c r="F43" s="39" t="s">
        <v>86</v>
      </c>
      <c r="G43" s="40">
        <v>152270000</v>
      </c>
      <c r="H43" s="39">
        <v>2014</v>
      </c>
      <c r="I43" s="75" t="s">
        <v>278</v>
      </c>
    </row>
    <row r="44" spans="1:9" x14ac:dyDescent="0.25">
      <c r="A44" s="73" t="s">
        <v>79</v>
      </c>
      <c r="B44" s="74" t="s">
        <v>279</v>
      </c>
      <c r="C44" s="39" t="s">
        <v>134</v>
      </c>
      <c r="D44" s="76" t="s">
        <v>321</v>
      </c>
      <c r="E44" s="49" t="s">
        <v>83</v>
      </c>
      <c r="F44" s="39" t="s">
        <v>86</v>
      </c>
      <c r="G44" s="40">
        <v>30000000</v>
      </c>
      <c r="H44" s="39">
        <v>2014</v>
      </c>
      <c r="I44" s="75" t="s">
        <v>322</v>
      </c>
    </row>
    <row r="45" spans="1:9" s="43" customFormat="1" x14ac:dyDescent="0.25">
      <c r="A45" s="44" t="s">
        <v>79</v>
      </c>
      <c r="B45" s="74" t="s">
        <v>323</v>
      </c>
      <c r="C45" s="45" t="s">
        <v>169</v>
      </c>
      <c r="D45" s="45" t="s">
        <v>347</v>
      </c>
      <c r="E45" s="47" t="s">
        <v>83</v>
      </c>
      <c r="F45" s="47" t="s">
        <v>86</v>
      </c>
      <c r="G45" s="46">
        <v>30620000</v>
      </c>
      <c r="H45" s="45">
        <v>2014</v>
      </c>
      <c r="I45" s="79" t="s">
        <v>348</v>
      </c>
    </row>
    <row r="46" spans="1:9" x14ac:dyDescent="0.25">
      <c r="A46" s="73" t="s">
        <v>349</v>
      </c>
      <c r="B46" s="39" t="s">
        <v>350</v>
      </c>
      <c r="C46" s="39" t="s">
        <v>351</v>
      </c>
      <c r="D46" s="39" t="s">
        <v>307</v>
      </c>
      <c r="E46" s="47" t="s">
        <v>83</v>
      </c>
      <c r="F46" s="39" t="s">
        <v>308</v>
      </c>
      <c r="G46" s="40">
        <v>62751</v>
      </c>
      <c r="H46" s="41">
        <v>2013</v>
      </c>
      <c r="I46" s="42" t="s">
        <v>309</v>
      </c>
    </row>
    <row r="47" spans="1:9" x14ac:dyDescent="0.25">
      <c r="A47" s="73" t="s">
        <v>349</v>
      </c>
      <c r="B47" s="39" t="s">
        <v>310</v>
      </c>
      <c r="C47" s="39" t="s">
        <v>93</v>
      </c>
      <c r="D47" s="39" t="s">
        <v>311</v>
      </c>
      <c r="E47" s="47" t="s">
        <v>83</v>
      </c>
      <c r="F47" s="39" t="s">
        <v>308</v>
      </c>
      <c r="G47" s="40">
        <v>649429</v>
      </c>
      <c r="H47" s="41">
        <v>2013</v>
      </c>
      <c r="I47" s="75" t="s">
        <v>309</v>
      </c>
    </row>
    <row r="48" spans="1:9" x14ac:dyDescent="0.25">
      <c r="A48" s="73" t="s">
        <v>349</v>
      </c>
      <c r="B48" s="39" t="s">
        <v>312</v>
      </c>
      <c r="C48" s="39" t="s">
        <v>216</v>
      </c>
      <c r="D48" s="39" t="s">
        <v>280</v>
      </c>
      <c r="E48" s="47" t="s">
        <v>83</v>
      </c>
      <c r="F48" s="39" t="s">
        <v>136</v>
      </c>
      <c r="G48" s="40">
        <v>29622</v>
      </c>
      <c r="H48" s="41">
        <v>2013</v>
      </c>
      <c r="I48" s="75" t="s">
        <v>309</v>
      </c>
    </row>
    <row r="49" spans="1:9" x14ac:dyDescent="0.25">
      <c r="A49" s="73" t="s">
        <v>349</v>
      </c>
      <c r="B49" s="39" t="s">
        <v>281</v>
      </c>
      <c r="C49" s="39" t="s">
        <v>216</v>
      </c>
      <c r="D49" s="39" t="s">
        <v>282</v>
      </c>
      <c r="E49" s="47" t="s">
        <v>83</v>
      </c>
      <c r="F49" s="39" t="s">
        <v>308</v>
      </c>
      <c r="G49" s="40">
        <v>1068334</v>
      </c>
      <c r="H49" s="41">
        <v>2013</v>
      </c>
      <c r="I49" s="75" t="s">
        <v>309</v>
      </c>
    </row>
    <row r="50" spans="1:9" x14ac:dyDescent="0.25">
      <c r="A50" s="73" t="s">
        <v>349</v>
      </c>
      <c r="B50" s="39" t="s">
        <v>283</v>
      </c>
      <c r="C50" s="39" t="s">
        <v>284</v>
      </c>
      <c r="D50" s="39" t="s">
        <v>285</v>
      </c>
      <c r="E50" s="47" t="s">
        <v>83</v>
      </c>
      <c r="F50" s="39" t="s">
        <v>308</v>
      </c>
      <c r="G50" s="40">
        <v>508292</v>
      </c>
      <c r="H50" s="41">
        <v>2013</v>
      </c>
      <c r="I50" s="75" t="s">
        <v>309</v>
      </c>
    </row>
    <row r="51" spans="1:9" x14ac:dyDescent="0.25">
      <c r="A51" s="73" t="s">
        <v>349</v>
      </c>
      <c r="B51" s="39" t="s">
        <v>286</v>
      </c>
      <c r="C51" s="39" t="s">
        <v>287</v>
      </c>
      <c r="D51" s="39" t="s">
        <v>245</v>
      </c>
      <c r="E51" s="47" t="s">
        <v>83</v>
      </c>
      <c r="F51" s="39" t="s">
        <v>308</v>
      </c>
      <c r="G51" s="40">
        <v>548507</v>
      </c>
      <c r="H51" s="41">
        <v>2013</v>
      </c>
      <c r="I51" s="75" t="s">
        <v>309</v>
      </c>
    </row>
    <row r="52" spans="1:9" x14ac:dyDescent="0.25">
      <c r="A52" s="73" t="s">
        <v>349</v>
      </c>
      <c r="B52" s="39" t="s">
        <v>246</v>
      </c>
      <c r="C52" s="39" t="s">
        <v>32</v>
      </c>
      <c r="D52" s="39" t="s">
        <v>247</v>
      </c>
      <c r="E52" s="47" t="s">
        <v>83</v>
      </c>
      <c r="F52" s="39" t="s">
        <v>136</v>
      </c>
      <c r="G52" s="40">
        <v>37005</v>
      </c>
      <c r="H52" s="41">
        <v>2013</v>
      </c>
      <c r="I52" s="75" t="s">
        <v>309</v>
      </c>
    </row>
    <row r="53" spans="1:9" x14ac:dyDescent="0.25">
      <c r="A53" s="73" t="s">
        <v>349</v>
      </c>
      <c r="B53" s="39" t="s">
        <v>248</v>
      </c>
      <c r="C53" s="39" t="s">
        <v>249</v>
      </c>
      <c r="D53" s="39" t="s">
        <v>250</v>
      </c>
      <c r="E53" s="47" t="s">
        <v>83</v>
      </c>
      <c r="F53" s="39" t="s">
        <v>308</v>
      </c>
      <c r="G53" s="40">
        <v>161063</v>
      </c>
      <c r="H53" s="41">
        <v>2013</v>
      </c>
      <c r="I53" s="75" t="s">
        <v>309</v>
      </c>
    </row>
    <row r="54" spans="1:9" x14ac:dyDescent="0.25">
      <c r="A54" s="73" t="s">
        <v>349</v>
      </c>
      <c r="B54" s="39" t="s">
        <v>251</v>
      </c>
      <c r="C54" s="39" t="s">
        <v>252</v>
      </c>
      <c r="D54" s="39" t="s">
        <v>250</v>
      </c>
      <c r="E54" s="47" t="s">
        <v>83</v>
      </c>
      <c r="F54" s="39" t="s">
        <v>308</v>
      </c>
      <c r="G54" s="40">
        <v>371544</v>
      </c>
      <c r="H54" s="41">
        <v>2013</v>
      </c>
      <c r="I54" s="75" t="s">
        <v>309</v>
      </c>
    </row>
    <row r="55" spans="1:9" x14ac:dyDescent="0.25">
      <c r="A55" s="73" t="s">
        <v>349</v>
      </c>
      <c r="B55" s="39" t="s">
        <v>253</v>
      </c>
      <c r="C55" s="39" t="s">
        <v>351</v>
      </c>
      <c r="D55" s="39" t="s">
        <v>254</v>
      </c>
      <c r="E55" s="47" t="s">
        <v>83</v>
      </c>
      <c r="F55" s="39" t="s">
        <v>308</v>
      </c>
      <c r="G55" s="40">
        <v>62282</v>
      </c>
      <c r="H55" s="41">
        <v>2013</v>
      </c>
      <c r="I55" s="75" t="s">
        <v>309</v>
      </c>
    </row>
    <row r="56" spans="1:9" x14ac:dyDescent="0.25">
      <c r="A56" s="73" t="s">
        <v>349</v>
      </c>
      <c r="B56" s="39" t="s">
        <v>330</v>
      </c>
      <c r="C56" s="39" t="s">
        <v>351</v>
      </c>
      <c r="D56" s="39" t="s">
        <v>307</v>
      </c>
      <c r="E56" s="47" t="s">
        <v>83</v>
      </c>
      <c r="F56" s="39" t="s">
        <v>308</v>
      </c>
      <c r="G56" s="40">
        <v>36097</v>
      </c>
      <c r="H56" s="41">
        <v>2013</v>
      </c>
      <c r="I56" s="75" t="s">
        <v>309</v>
      </c>
    </row>
    <row r="57" spans="1:9" x14ac:dyDescent="0.25">
      <c r="A57" s="73" t="s">
        <v>349</v>
      </c>
      <c r="B57" s="39" t="s">
        <v>294</v>
      </c>
      <c r="C57" s="39" t="s">
        <v>93</v>
      </c>
      <c r="D57" s="39" t="s">
        <v>293</v>
      </c>
      <c r="E57" s="47" t="s">
        <v>83</v>
      </c>
      <c r="F57" s="39" t="s">
        <v>308</v>
      </c>
      <c r="G57" s="40">
        <v>278190</v>
      </c>
      <c r="H57" s="41">
        <v>2013</v>
      </c>
      <c r="I57" s="75" t="s">
        <v>309</v>
      </c>
    </row>
    <row r="58" spans="1:9" x14ac:dyDescent="0.25">
      <c r="A58" s="73" t="s">
        <v>349</v>
      </c>
      <c r="B58" s="39" t="s">
        <v>261</v>
      </c>
      <c r="C58" s="39" t="s">
        <v>351</v>
      </c>
      <c r="D58" s="39" t="s">
        <v>262</v>
      </c>
      <c r="E58" s="47" t="s">
        <v>83</v>
      </c>
      <c r="F58" s="39" t="s">
        <v>308</v>
      </c>
      <c r="G58" s="40">
        <v>552925</v>
      </c>
      <c r="H58" s="41">
        <v>2013</v>
      </c>
      <c r="I58" s="75" t="s">
        <v>309</v>
      </c>
    </row>
    <row r="59" spans="1:9" x14ac:dyDescent="0.25">
      <c r="A59" s="73" t="s">
        <v>349</v>
      </c>
      <c r="B59" s="39" t="s">
        <v>263</v>
      </c>
      <c r="C59" s="39" t="s">
        <v>264</v>
      </c>
      <c r="D59" s="39" t="s">
        <v>265</v>
      </c>
      <c r="E59" s="47" t="s">
        <v>83</v>
      </c>
      <c r="F59" s="39" t="s">
        <v>308</v>
      </c>
      <c r="G59" s="40">
        <v>105111</v>
      </c>
      <c r="H59" s="41">
        <v>2013</v>
      </c>
      <c r="I59" s="75" t="s">
        <v>309</v>
      </c>
    </row>
    <row r="60" spans="1:9" x14ac:dyDescent="0.25">
      <c r="A60" s="73" t="s">
        <v>349</v>
      </c>
      <c r="B60" s="39" t="s">
        <v>266</v>
      </c>
      <c r="C60" s="39" t="s">
        <v>287</v>
      </c>
      <c r="D60" s="39" t="s">
        <v>267</v>
      </c>
      <c r="E60" s="47" t="s">
        <v>83</v>
      </c>
      <c r="F60" s="39" t="s">
        <v>136</v>
      </c>
      <c r="G60" s="40">
        <v>107076</v>
      </c>
      <c r="H60" s="41">
        <v>2013</v>
      </c>
      <c r="I60" s="75" t="s">
        <v>309</v>
      </c>
    </row>
    <row r="61" spans="1:9" x14ac:dyDescent="0.25">
      <c r="A61" s="73" t="s">
        <v>349</v>
      </c>
      <c r="B61" s="39" t="s">
        <v>268</v>
      </c>
      <c r="C61" s="39" t="s">
        <v>269</v>
      </c>
      <c r="D61" s="39" t="s">
        <v>293</v>
      </c>
      <c r="E61" s="47" t="s">
        <v>83</v>
      </c>
      <c r="F61" s="39" t="s">
        <v>308</v>
      </c>
      <c r="G61" s="40">
        <v>175073</v>
      </c>
      <c r="H61" s="41">
        <v>2013</v>
      </c>
      <c r="I61" s="75" t="s">
        <v>309</v>
      </c>
    </row>
    <row r="62" spans="1:9" x14ac:dyDescent="0.25">
      <c r="A62" s="73" t="s">
        <v>349</v>
      </c>
      <c r="B62" s="39" t="s">
        <v>270</v>
      </c>
      <c r="C62" s="39" t="s">
        <v>252</v>
      </c>
      <c r="D62" s="39" t="s">
        <v>250</v>
      </c>
      <c r="E62" s="47" t="s">
        <v>83</v>
      </c>
      <c r="F62" s="39" t="s">
        <v>308</v>
      </c>
      <c r="G62" s="40">
        <v>1258013</v>
      </c>
      <c r="H62" s="41">
        <v>2013</v>
      </c>
      <c r="I62" s="75" t="s">
        <v>309</v>
      </c>
    </row>
    <row r="63" spans="1:9" x14ac:dyDescent="0.25">
      <c r="A63" s="73" t="s">
        <v>349</v>
      </c>
      <c r="B63" s="39" t="s">
        <v>271</v>
      </c>
      <c r="C63" s="39" t="s">
        <v>252</v>
      </c>
      <c r="D63" s="39" t="s">
        <v>250</v>
      </c>
      <c r="E63" s="47" t="s">
        <v>83</v>
      </c>
      <c r="F63" s="39" t="s">
        <v>308</v>
      </c>
      <c r="G63" s="40">
        <v>223903</v>
      </c>
      <c r="H63" s="41">
        <v>2013</v>
      </c>
      <c r="I63" s="75" t="s">
        <v>309</v>
      </c>
    </row>
    <row r="64" spans="1:9" x14ac:dyDescent="0.25">
      <c r="A64" s="73" t="s">
        <v>349</v>
      </c>
      <c r="B64" s="39" t="s">
        <v>272</v>
      </c>
      <c r="C64" s="39" t="s">
        <v>93</v>
      </c>
      <c r="D64" s="39" t="s">
        <v>293</v>
      </c>
      <c r="E64" s="47" t="s">
        <v>83</v>
      </c>
      <c r="F64" s="39" t="s">
        <v>308</v>
      </c>
      <c r="G64" s="40">
        <v>1262276</v>
      </c>
      <c r="H64" s="41">
        <v>2013</v>
      </c>
      <c r="I64" s="75" t="s">
        <v>309</v>
      </c>
    </row>
    <row r="65" spans="1:9" x14ac:dyDescent="0.25">
      <c r="A65" s="73" t="s">
        <v>349</v>
      </c>
      <c r="B65" s="39" t="s">
        <v>273</v>
      </c>
      <c r="C65" s="39" t="s">
        <v>31</v>
      </c>
      <c r="D65" s="39" t="s">
        <v>274</v>
      </c>
      <c r="E65" s="47" t="s">
        <v>83</v>
      </c>
      <c r="F65" s="39" t="s">
        <v>308</v>
      </c>
      <c r="G65" s="40">
        <v>272572</v>
      </c>
      <c r="H65" s="41">
        <v>2013</v>
      </c>
      <c r="I65" s="75" t="s">
        <v>309</v>
      </c>
    </row>
    <row r="66" spans="1:9" x14ac:dyDescent="0.25">
      <c r="A66" s="73" t="s">
        <v>349</v>
      </c>
      <c r="B66" s="39" t="s">
        <v>275</v>
      </c>
      <c r="C66" s="39" t="s">
        <v>287</v>
      </c>
      <c r="D66" s="39" t="s">
        <v>276</v>
      </c>
      <c r="E66" s="47" t="s">
        <v>83</v>
      </c>
      <c r="F66" s="39" t="s">
        <v>308</v>
      </c>
      <c r="G66" s="40">
        <v>90460</v>
      </c>
      <c r="H66" s="41">
        <v>2013</v>
      </c>
      <c r="I66" s="75" t="s">
        <v>309</v>
      </c>
    </row>
    <row r="67" spans="1:9" x14ac:dyDescent="0.25">
      <c r="A67" s="73" t="s">
        <v>349</v>
      </c>
      <c r="B67" s="39" t="s">
        <v>343</v>
      </c>
      <c r="C67" s="39" t="s">
        <v>344</v>
      </c>
      <c r="D67" s="39" t="s">
        <v>345</v>
      </c>
      <c r="E67" s="47" t="s">
        <v>83</v>
      </c>
      <c r="F67" s="39" t="s">
        <v>308</v>
      </c>
      <c r="G67" s="40">
        <v>173385</v>
      </c>
      <c r="H67" s="41">
        <v>2013</v>
      </c>
      <c r="I67" s="75" t="s">
        <v>309</v>
      </c>
    </row>
    <row r="68" spans="1:9" x14ac:dyDescent="0.25">
      <c r="A68" s="44" t="s">
        <v>349</v>
      </c>
      <c r="B68" s="45" t="s">
        <v>346</v>
      </c>
      <c r="C68" s="45" t="s">
        <v>93</v>
      </c>
      <c r="D68" s="45" t="s">
        <v>289</v>
      </c>
      <c r="E68" s="47" t="s">
        <v>83</v>
      </c>
      <c r="F68" s="39" t="s">
        <v>308</v>
      </c>
      <c r="G68" s="46">
        <v>592435</v>
      </c>
      <c r="H68" s="47">
        <v>2013</v>
      </c>
      <c r="I68" s="79" t="s">
        <v>374</v>
      </c>
    </row>
    <row r="69" spans="1:9" x14ac:dyDescent="0.25">
      <c r="A69" s="73" t="s">
        <v>349</v>
      </c>
      <c r="B69" s="39" t="s">
        <v>375</v>
      </c>
      <c r="C69" s="39" t="s">
        <v>93</v>
      </c>
      <c r="D69" s="39" t="s">
        <v>376</v>
      </c>
      <c r="E69" s="47" t="s">
        <v>83</v>
      </c>
      <c r="F69" s="39" t="s">
        <v>308</v>
      </c>
      <c r="G69" s="40">
        <v>375762</v>
      </c>
      <c r="H69" s="41">
        <v>2013</v>
      </c>
      <c r="I69" s="75" t="s">
        <v>377</v>
      </c>
    </row>
    <row r="70" spans="1:9" x14ac:dyDescent="0.25">
      <c r="A70" s="73" t="s">
        <v>349</v>
      </c>
      <c r="B70" s="39" t="s">
        <v>378</v>
      </c>
      <c r="C70" s="39" t="s">
        <v>379</v>
      </c>
      <c r="D70" s="39" t="s">
        <v>380</v>
      </c>
      <c r="E70" s="47" t="s">
        <v>83</v>
      </c>
      <c r="F70" s="39" t="s">
        <v>308</v>
      </c>
      <c r="G70" s="40">
        <v>134302761</v>
      </c>
      <c r="H70" s="41">
        <v>2013</v>
      </c>
      <c r="I70" s="75" t="s">
        <v>309</v>
      </c>
    </row>
    <row r="71" spans="1:9" x14ac:dyDescent="0.25">
      <c r="A71" s="73" t="s">
        <v>349</v>
      </c>
      <c r="B71" s="39" t="s">
        <v>381</v>
      </c>
      <c r="C71" s="39" t="s">
        <v>287</v>
      </c>
      <c r="D71" s="39" t="s">
        <v>331</v>
      </c>
      <c r="E71" s="47" t="s">
        <v>83</v>
      </c>
      <c r="F71" s="39" t="s">
        <v>308</v>
      </c>
      <c r="G71" s="40">
        <v>630094</v>
      </c>
      <c r="H71" s="41">
        <v>2013</v>
      </c>
      <c r="I71" s="75" t="s">
        <v>309</v>
      </c>
    </row>
    <row r="72" spans="1:9" x14ac:dyDescent="0.25">
      <c r="A72" s="73" t="s">
        <v>349</v>
      </c>
      <c r="B72" s="39" t="s">
        <v>332</v>
      </c>
      <c r="C72" s="39" t="s">
        <v>32</v>
      </c>
      <c r="D72" s="39" t="s">
        <v>333</v>
      </c>
      <c r="E72" s="47" t="s">
        <v>83</v>
      </c>
      <c r="F72" s="39" t="s">
        <v>308</v>
      </c>
      <c r="G72" s="40">
        <v>142020</v>
      </c>
      <c r="H72" s="41">
        <v>2013</v>
      </c>
      <c r="I72" s="75" t="s">
        <v>309</v>
      </c>
    </row>
    <row r="73" spans="1:9" x14ac:dyDescent="0.25">
      <c r="A73" s="73" t="s">
        <v>349</v>
      </c>
      <c r="B73" s="39" t="s">
        <v>334</v>
      </c>
      <c r="C73" s="39" t="s">
        <v>351</v>
      </c>
      <c r="D73" s="39" t="s">
        <v>247</v>
      </c>
      <c r="E73" s="47" t="s">
        <v>83</v>
      </c>
      <c r="F73" s="39" t="s">
        <v>308</v>
      </c>
      <c r="G73" s="40">
        <v>135228</v>
      </c>
      <c r="H73" s="41">
        <v>2013</v>
      </c>
      <c r="I73" s="75" t="s">
        <v>309</v>
      </c>
    </row>
    <row r="74" spans="1:9" x14ac:dyDescent="0.25">
      <c r="A74" s="73" t="s">
        <v>349</v>
      </c>
      <c r="B74" s="39" t="s">
        <v>273</v>
      </c>
      <c r="C74" s="39" t="s">
        <v>31</v>
      </c>
      <c r="D74" s="39" t="s">
        <v>324</v>
      </c>
      <c r="E74" s="47" t="s">
        <v>83</v>
      </c>
      <c r="F74" s="39" t="s">
        <v>308</v>
      </c>
      <c r="G74" s="40">
        <v>562573</v>
      </c>
      <c r="H74" s="41">
        <v>2013</v>
      </c>
      <c r="I74" s="75" t="s">
        <v>309</v>
      </c>
    </row>
    <row r="75" spans="1:9" x14ac:dyDescent="0.25">
      <c r="A75" s="73" t="s">
        <v>349</v>
      </c>
      <c r="B75" s="39" t="s">
        <v>325</v>
      </c>
      <c r="C75" s="39" t="s">
        <v>326</v>
      </c>
      <c r="D75" s="39" t="s">
        <v>267</v>
      </c>
      <c r="E75" s="47" t="s">
        <v>83</v>
      </c>
      <c r="F75" s="39" t="s">
        <v>136</v>
      </c>
      <c r="G75" s="40">
        <v>50021</v>
      </c>
      <c r="H75" s="41">
        <v>2013</v>
      </c>
      <c r="I75" s="75" t="s">
        <v>309</v>
      </c>
    </row>
    <row r="76" spans="1:9" x14ac:dyDescent="0.25">
      <c r="A76" s="73" t="s">
        <v>349</v>
      </c>
      <c r="B76" s="39" t="s">
        <v>327</v>
      </c>
      <c r="C76" s="39" t="s">
        <v>32</v>
      </c>
      <c r="D76" s="39" t="s">
        <v>328</v>
      </c>
      <c r="E76" s="47" t="s">
        <v>83</v>
      </c>
      <c r="F76" s="39" t="s">
        <v>329</v>
      </c>
      <c r="G76" s="40">
        <v>312631</v>
      </c>
      <c r="H76" s="41">
        <v>2013</v>
      </c>
      <c r="I76" s="75" t="s">
        <v>309</v>
      </c>
    </row>
    <row r="77" spans="1:9" x14ac:dyDescent="0.25">
      <c r="A77" s="73" t="s">
        <v>349</v>
      </c>
      <c r="B77" s="39" t="s">
        <v>298</v>
      </c>
      <c r="C77" s="39" t="s">
        <v>249</v>
      </c>
      <c r="D77" s="39" t="s">
        <v>250</v>
      </c>
      <c r="E77" s="47" t="s">
        <v>83</v>
      </c>
      <c r="F77" s="39" t="s">
        <v>329</v>
      </c>
      <c r="G77" s="40">
        <v>762359</v>
      </c>
      <c r="H77" s="41">
        <v>2013</v>
      </c>
      <c r="I77" s="75" t="s">
        <v>309</v>
      </c>
    </row>
    <row r="78" spans="1:9" x14ac:dyDescent="0.25">
      <c r="A78" s="73" t="s">
        <v>349</v>
      </c>
      <c r="B78" s="39" t="s">
        <v>299</v>
      </c>
      <c r="C78" s="39" t="s">
        <v>300</v>
      </c>
      <c r="D78" s="39" t="s">
        <v>301</v>
      </c>
      <c r="E78" s="47" t="s">
        <v>83</v>
      </c>
      <c r="F78" s="39" t="s">
        <v>329</v>
      </c>
      <c r="G78" s="40">
        <v>86683</v>
      </c>
      <c r="H78" s="41">
        <v>2013</v>
      </c>
      <c r="I78" s="75" t="s">
        <v>309</v>
      </c>
    </row>
    <row r="79" spans="1:9" x14ac:dyDescent="0.25">
      <c r="A79" s="73" t="s">
        <v>349</v>
      </c>
      <c r="B79" s="39" t="s">
        <v>302</v>
      </c>
      <c r="C79" s="39" t="s">
        <v>33</v>
      </c>
      <c r="D79" s="39" t="s">
        <v>303</v>
      </c>
      <c r="E79" s="47" t="s">
        <v>83</v>
      </c>
      <c r="F79" s="39" t="s">
        <v>329</v>
      </c>
      <c r="G79" s="40">
        <v>317222</v>
      </c>
      <c r="H79" s="41">
        <v>2013</v>
      </c>
      <c r="I79" s="75" t="s">
        <v>309</v>
      </c>
    </row>
    <row r="80" spans="1:9" x14ac:dyDescent="0.25">
      <c r="A80" s="73" t="s">
        <v>349</v>
      </c>
      <c r="B80" s="39" t="s">
        <v>378</v>
      </c>
      <c r="C80" s="39" t="s">
        <v>379</v>
      </c>
      <c r="D80" s="39" t="s">
        <v>339</v>
      </c>
      <c r="E80" s="47" t="s">
        <v>83</v>
      </c>
      <c r="F80" s="39" t="s">
        <v>329</v>
      </c>
      <c r="G80" s="40">
        <v>463428172</v>
      </c>
      <c r="H80" s="41">
        <v>2013</v>
      </c>
      <c r="I80" s="75" t="s">
        <v>309</v>
      </c>
    </row>
    <row r="81" spans="1:9" x14ac:dyDescent="0.25">
      <c r="A81" s="73" t="s">
        <v>349</v>
      </c>
      <c r="B81" s="39" t="s">
        <v>340</v>
      </c>
      <c r="C81" s="39" t="s">
        <v>341</v>
      </c>
      <c r="D81" s="39" t="s">
        <v>247</v>
      </c>
      <c r="E81" s="47" t="s">
        <v>83</v>
      </c>
      <c r="F81" s="39" t="s">
        <v>329</v>
      </c>
      <c r="G81" s="40">
        <v>17915</v>
      </c>
      <c r="H81" s="41">
        <v>2013</v>
      </c>
      <c r="I81" s="75" t="s">
        <v>309</v>
      </c>
    </row>
    <row r="82" spans="1:9" x14ac:dyDescent="0.25">
      <c r="A82" s="73" t="s">
        <v>349</v>
      </c>
      <c r="B82" s="39" t="s">
        <v>342</v>
      </c>
      <c r="C82" s="39" t="s">
        <v>287</v>
      </c>
      <c r="D82" s="39" t="s">
        <v>250</v>
      </c>
      <c r="E82" s="47" t="s">
        <v>83</v>
      </c>
      <c r="F82" s="39" t="s">
        <v>329</v>
      </c>
      <c r="G82" s="40">
        <v>313465</v>
      </c>
      <c r="H82" s="41">
        <v>2013</v>
      </c>
      <c r="I82" s="75" t="s">
        <v>309</v>
      </c>
    </row>
    <row r="83" spans="1:9" x14ac:dyDescent="0.25">
      <c r="A83" s="73" t="s">
        <v>349</v>
      </c>
      <c r="B83" s="39" t="s">
        <v>381</v>
      </c>
      <c r="C83" s="39" t="s">
        <v>287</v>
      </c>
      <c r="D83" s="39" t="s">
        <v>398</v>
      </c>
      <c r="E83" s="47" t="s">
        <v>83</v>
      </c>
      <c r="F83" s="39" t="s">
        <v>329</v>
      </c>
      <c r="G83" s="40">
        <v>2174902</v>
      </c>
      <c r="H83" s="41">
        <v>2013</v>
      </c>
      <c r="I83" s="75" t="s">
        <v>309</v>
      </c>
    </row>
    <row r="84" spans="1:9" x14ac:dyDescent="0.25">
      <c r="A84" s="73" t="s">
        <v>349</v>
      </c>
      <c r="B84" s="39" t="s">
        <v>399</v>
      </c>
      <c r="C84" s="39" t="s">
        <v>400</v>
      </c>
      <c r="D84" s="39" t="s">
        <v>247</v>
      </c>
      <c r="E84" s="47" t="s">
        <v>83</v>
      </c>
      <c r="F84" s="39" t="s">
        <v>329</v>
      </c>
      <c r="G84" s="40">
        <v>14540</v>
      </c>
      <c r="H84" s="41">
        <v>2013</v>
      </c>
      <c r="I84" s="75" t="s">
        <v>309</v>
      </c>
    </row>
    <row r="85" spans="1:9" x14ac:dyDescent="0.25">
      <c r="A85" s="73" t="s">
        <v>349</v>
      </c>
      <c r="B85" s="39" t="s">
        <v>334</v>
      </c>
      <c r="C85" s="39" t="s">
        <v>351</v>
      </c>
      <c r="D85" s="39" t="s">
        <v>311</v>
      </c>
      <c r="E85" s="47" t="s">
        <v>83</v>
      </c>
      <c r="F85" s="39" t="s">
        <v>329</v>
      </c>
      <c r="G85" s="40">
        <v>1429722</v>
      </c>
      <c r="H85" s="41">
        <v>2013</v>
      </c>
      <c r="I85" s="75" t="s">
        <v>309</v>
      </c>
    </row>
    <row r="86" spans="1:9" x14ac:dyDescent="0.25">
      <c r="A86" s="73" t="s">
        <v>349</v>
      </c>
      <c r="B86" s="39" t="s">
        <v>401</v>
      </c>
      <c r="C86" s="39" t="s">
        <v>402</v>
      </c>
      <c r="D86" s="39" t="s">
        <v>403</v>
      </c>
      <c r="E86" s="47" t="s">
        <v>83</v>
      </c>
      <c r="F86" s="39" t="s">
        <v>136</v>
      </c>
      <c r="G86" s="40">
        <v>306937181</v>
      </c>
      <c r="H86" s="41">
        <v>2013</v>
      </c>
      <c r="I86" s="75" t="s">
        <v>309</v>
      </c>
    </row>
    <row r="87" spans="1:9" x14ac:dyDescent="0.25">
      <c r="A87" s="73" t="s">
        <v>349</v>
      </c>
      <c r="B87" s="39" t="s">
        <v>404</v>
      </c>
      <c r="C87" s="39" t="s">
        <v>405</v>
      </c>
      <c r="D87" s="39" t="s">
        <v>406</v>
      </c>
      <c r="E87" s="47" t="s">
        <v>83</v>
      </c>
      <c r="F87" s="39" t="s">
        <v>136</v>
      </c>
      <c r="G87" s="40">
        <v>23010</v>
      </c>
      <c r="H87" s="41">
        <v>2013</v>
      </c>
      <c r="I87" s="75" t="s">
        <v>309</v>
      </c>
    </row>
    <row r="88" spans="1:9" x14ac:dyDescent="0.25">
      <c r="A88" s="73" t="s">
        <v>349</v>
      </c>
      <c r="B88" s="39" t="s">
        <v>407</v>
      </c>
      <c r="C88" s="39" t="s">
        <v>32</v>
      </c>
      <c r="D88" s="39" t="s">
        <v>408</v>
      </c>
      <c r="E88" s="47" t="s">
        <v>83</v>
      </c>
      <c r="F88" s="39" t="s">
        <v>308</v>
      </c>
      <c r="G88" s="40">
        <v>547104</v>
      </c>
      <c r="H88" s="41">
        <v>2013</v>
      </c>
      <c r="I88" s="75" t="s">
        <v>309</v>
      </c>
    </row>
    <row r="89" spans="1:9" x14ac:dyDescent="0.25">
      <c r="A89" s="73" t="s">
        <v>349</v>
      </c>
      <c r="B89" s="39" t="s">
        <v>409</v>
      </c>
      <c r="C89" s="39" t="s">
        <v>249</v>
      </c>
      <c r="D89" s="39" t="s">
        <v>250</v>
      </c>
      <c r="E89" s="47" t="s">
        <v>83</v>
      </c>
      <c r="F89" s="39" t="s">
        <v>308</v>
      </c>
      <c r="G89" s="40">
        <v>312321</v>
      </c>
      <c r="H89" s="41">
        <v>2013</v>
      </c>
      <c r="I89" s="75" t="s">
        <v>309</v>
      </c>
    </row>
    <row r="90" spans="1:9" x14ac:dyDescent="0.25">
      <c r="A90" s="73" t="s">
        <v>349</v>
      </c>
      <c r="B90" s="39" t="s">
        <v>410</v>
      </c>
      <c r="C90" s="39" t="s">
        <v>287</v>
      </c>
      <c r="D90" s="39" t="s">
        <v>352</v>
      </c>
      <c r="E90" s="47" t="s">
        <v>83</v>
      </c>
      <c r="F90" s="39" t="s">
        <v>308</v>
      </c>
      <c r="G90" s="40">
        <v>2535617</v>
      </c>
      <c r="H90" s="41">
        <v>2013</v>
      </c>
      <c r="I90" s="75" t="s">
        <v>309</v>
      </c>
    </row>
    <row r="91" spans="1:9" x14ac:dyDescent="0.25">
      <c r="A91" s="73" t="s">
        <v>349</v>
      </c>
      <c r="B91" s="39" t="s">
        <v>353</v>
      </c>
      <c r="C91" s="39" t="s">
        <v>163</v>
      </c>
      <c r="D91" s="39" t="s">
        <v>354</v>
      </c>
      <c r="E91" s="47" t="s">
        <v>83</v>
      </c>
      <c r="F91" s="39" t="s">
        <v>207</v>
      </c>
      <c r="G91" s="40">
        <v>31701</v>
      </c>
      <c r="H91" s="41">
        <v>2013</v>
      </c>
      <c r="I91" s="75" t="s">
        <v>309</v>
      </c>
    </row>
    <row r="92" spans="1:9" x14ac:dyDescent="0.25">
      <c r="A92" s="73" t="s">
        <v>349</v>
      </c>
      <c r="B92" s="39" t="s">
        <v>355</v>
      </c>
      <c r="C92" s="39" t="s">
        <v>356</v>
      </c>
      <c r="D92" s="39" t="s">
        <v>247</v>
      </c>
      <c r="E92" s="47" t="s">
        <v>83</v>
      </c>
      <c r="F92" s="39" t="s">
        <v>136</v>
      </c>
      <c r="G92" s="40">
        <v>9887</v>
      </c>
      <c r="H92" s="41">
        <v>2013</v>
      </c>
      <c r="I92" s="75" t="s">
        <v>309</v>
      </c>
    </row>
    <row r="93" spans="1:9" x14ac:dyDescent="0.25">
      <c r="A93" s="73" t="s">
        <v>349</v>
      </c>
      <c r="B93" s="39" t="s">
        <v>357</v>
      </c>
      <c r="C93" s="39" t="s">
        <v>358</v>
      </c>
      <c r="D93" s="39" t="s">
        <v>314</v>
      </c>
      <c r="E93" s="47" t="s">
        <v>83</v>
      </c>
      <c r="F93" s="80" t="s">
        <v>308</v>
      </c>
      <c r="G93" s="81">
        <v>1718161.3924050634</v>
      </c>
      <c r="H93" s="41">
        <v>2014</v>
      </c>
      <c r="I93" s="79" t="s">
        <v>313</v>
      </c>
    </row>
    <row r="94" spans="1:9" x14ac:dyDescent="0.25">
      <c r="A94" s="73" t="s">
        <v>349</v>
      </c>
      <c r="B94" s="39" t="s">
        <v>357</v>
      </c>
      <c r="C94" s="39" t="s">
        <v>358</v>
      </c>
      <c r="D94" s="80" t="s">
        <v>288</v>
      </c>
      <c r="E94" s="47" t="s">
        <v>83</v>
      </c>
      <c r="F94" s="80" t="s">
        <v>308</v>
      </c>
      <c r="G94" s="81">
        <v>156675.6329113924</v>
      </c>
      <c r="H94" s="41">
        <v>2014</v>
      </c>
      <c r="I94" s="79" t="s">
        <v>313</v>
      </c>
    </row>
    <row r="95" spans="1:9" ht="39.6" x14ac:dyDescent="0.25">
      <c r="A95" s="73" t="s">
        <v>349</v>
      </c>
      <c r="B95" s="39" t="s">
        <v>386</v>
      </c>
      <c r="C95" s="39" t="s">
        <v>379</v>
      </c>
      <c r="D95" s="80" t="s">
        <v>335</v>
      </c>
      <c r="E95" s="47" t="s">
        <v>83</v>
      </c>
      <c r="F95" s="80" t="s">
        <v>308</v>
      </c>
      <c r="G95" s="81">
        <v>1288314.8734177216</v>
      </c>
      <c r="H95" s="41">
        <v>2014</v>
      </c>
      <c r="I95" s="79" t="s">
        <v>295</v>
      </c>
    </row>
    <row r="96" spans="1:9" x14ac:dyDescent="0.25">
      <c r="A96" s="73" t="s">
        <v>349</v>
      </c>
      <c r="B96" s="80" t="s">
        <v>296</v>
      </c>
      <c r="C96" s="39" t="s">
        <v>379</v>
      </c>
      <c r="D96" s="39" t="s">
        <v>297</v>
      </c>
      <c r="E96" s="47" t="s">
        <v>83</v>
      </c>
      <c r="F96" s="80" t="s">
        <v>308</v>
      </c>
      <c r="G96" s="81">
        <f>56156328/0.632</f>
        <v>88854949.367088601</v>
      </c>
      <c r="H96" s="41">
        <v>2014</v>
      </c>
      <c r="I96" s="79" t="s">
        <v>372</v>
      </c>
    </row>
    <row r="97" spans="1:9" x14ac:dyDescent="0.25">
      <c r="A97" s="73" t="s">
        <v>349</v>
      </c>
      <c r="B97" s="39" t="s">
        <v>373</v>
      </c>
      <c r="C97" s="39" t="s">
        <v>379</v>
      </c>
      <c r="D97" s="76" t="s">
        <v>424</v>
      </c>
      <c r="E97" s="47" t="s">
        <v>83</v>
      </c>
      <c r="F97" s="80" t="s">
        <v>308</v>
      </c>
      <c r="G97" s="81">
        <f>64077198/0.632</f>
        <v>101387971.51898734</v>
      </c>
      <c r="H97" s="41">
        <v>2014</v>
      </c>
      <c r="I97" s="79" t="s">
        <v>425</v>
      </c>
    </row>
    <row r="98" spans="1:9" x14ac:dyDescent="0.25">
      <c r="A98" s="73" t="s">
        <v>349</v>
      </c>
      <c r="B98" s="39" t="s">
        <v>382</v>
      </c>
      <c r="C98" s="39" t="s">
        <v>31</v>
      </c>
      <c r="D98" s="80" t="s">
        <v>383</v>
      </c>
      <c r="E98" s="39" t="s">
        <v>384</v>
      </c>
      <c r="F98" s="80" t="s">
        <v>385</v>
      </c>
      <c r="G98" s="81">
        <v>928294.30379746796</v>
      </c>
      <c r="H98" s="41">
        <v>2014</v>
      </c>
      <c r="I98" s="82" t="s">
        <v>359</v>
      </c>
    </row>
    <row r="99" spans="1:9" x14ac:dyDescent="0.25">
      <c r="A99" s="73" t="s">
        <v>349</v>
      </c>
      <c r="B99" s="39" t="s">
        <v>315</v>
      </c>
      <c r="C99" s="39" t="s">
        <v>31</v>
      </c>
      <c r="D99" s="39" t="s">
        <v>316</v>
      </c>
      <c r="E99" s="76" t="s">
        <v>83</v>
      </c>
      <c r="F99" s="80" t="s">
        <v>308</v>
      </c>
      <c r="G99" s="81">
        <v>309884.49367088609</v>
      </c>
      <c r="H99" s="41">
        <v>2014</v>
      </c>
      <c r="I99" s="79" t="s">
        <v>317</v>
      </c>
    </row>
    <row r="100" spans="1:9" ht="26.4" x14ac:dyDescent="0.25">
      <c r="A100" s="73" t="s">
        <v>349</v>
      </c>
      <c r="B100" s="80" t="s">
        <v>318</v>
      </c>
      <c r="C100" s="39" t="s">
        <v>284</v>
      </c>
      <c r="D100" s="39" t="s">
        <v>319</v>
      </c>
      <c r="E100" s="76" t="s">
        <v>83</v>
      </c>
      <c r="F100" s="80" t="s">
        <v>308</v>
      </c>
      <c r="G100" s="81">
        <v>553797.4683544304</v>
      </c>
      <c r="H100" s="41">
        <v>2014</v>
      </c>
      <c r="I100" s="79" t="s">
        <v>313</v>
      </c>
    </row>
    <row r="101" spans="1:9" ht="79.2" x14ac:dyDescent="0.25">
      <c r="A101" s="73" t="s">
        <v>349</v>
      </c>
      <c r="B101" s="39" t="s">
        <v>320</v>
      </c>
      <c r="C101" s="39" t="s">
        <v>341</v>
      </c>
      <c r="D101" s="80" t="s">
        <v>397</v>
      </c>
      <c r="E101" s="76" t="s">
        <v>83</v>
      </c>
      <c r="F101" s="80" t="s">
        <v>385</v>
      </c>
      <c r="G101" s="81">
        <v>111299.05063291139</v>
      </c>
      <c r="H101" s="41">
        <v>2014</v>
      </c>
      <c r="I101" s="79" t="s">
        <v>444</v>
      </c>
    </row>
    <row r="102" spans="1:9" x14ac:dyDescent="0.25">
      <c r="A102" s="73" t="s">
        <v>349</v>
      </c>
      <c r="B102" s="39" t="s">
        <v>410</v>
      </c>
      <c r="C102" s="39" t="s">
        <v>287</v>
      </c>
      <c r="D102" s="80" t="s">
        <v>445</v>
      </c>
      <c r="E102" s="76" t="s">
        <v>83</v>
      </c>
      <c r="F102" s="80" t="s">
        <v>308</v>
      </c>
      <c r="G102" s="81">
        <f>868721/0.632</f>
        <v>1374558.5443037974</v>
      </c>
      <c r="H102" s="41">
        <v>2014</v>
      </c>
      <c r="I102" s="79" t="s">
        <v>446</v>
      </c>
    </row>
    <row r="103" spans="1:9" x14ac:dyDescent="0.25">
      <c r="A103" s="73" t="s">
        <v>349</v>
      </c>
      <c r="B103" s="39" t="s">
        <v>411</v>
      </c>
      <c r="C103" s="39" t="s">
        <v>287</v>
      </c>
      <c r="D103" s="39" t="s">
        <v>412</v>
      </c>
      <c r="E103" s="76" t="s">
        <v>83</v>
      </c>
      <c r="F103" s="80" t="s">
        <v>308</v>
      </c>
      <c r="G103" s="81">
        <v>1069897.1518987301</v>
      </c>
      <c r="H103" s="41">
        <v>2014</v>
      </c>
      <c r="I103" s="79" t="s">
        <v>313</v>
      </c>
    </row>
    <row r="104" spans="1:9" ht="39.6" x14ac:dyDescent="0.25">
      <c r="A104" s="73" t="s">
        <v>349</v>
      </c>
      <c r="B104" s="39" t="s">
        <v>413</v>
      </c>
      <c r="C104" s="39" t="s">
        <v>287</v>
      </c>
      <c r="D104" s="80" t="s">
        <v>426</v>
      </c>
      <c r="E104" s="76" t="s">
        <v>83</v>
      </c>
      <c r="F104" s="80" t="s">
        <v>308</v>
      </c>
      <c r="G104" s="81">
        <v>222045.88607594901</v>
      </c>
      <c r="H104" s="41">
        <v>2014</v>
      </c>
      <c r="I104" s="79" t="s">
        <v>313</v>
      </c>
    </row>
    <row r="105" spans="1:9" ht="52.8" x14ac:dyDescent="0.25">
      <c r="A105" s="73" t="s">
        <v>349</v>
      </c>
      <c r="B105" s="39" t="s">
        <v>427</v>
      </c>
      <c r="C105" s="39" t="s">
        <v>287</v>
      </c>
      <c r="D105" s="80" t="s">
        <v>336</v>
      </c>
      <c r="E105" s="76" t="s">
        <v>83</v>
      </c>
      <c r="F105" s="80" t="s">
        <v>308</v>
      </c>
      <c r="G105" s="81">
        <f>106747/0.632</f>
        <v>168903.48101265822</v>
      </c>
      <c r="H105" s="41">
        <v>2014</v>
      </c>
      <c r="I105" s="79" t="s">
        <v>337</v>
      </c>
    </row>
    <row r="106" spans="1:9" ht="39.6" x14ac:dyDescent="0.25">
      <c r="A106" s="73" t="s">
        <v>349</v>
      </c>
      <c r="B106" s="39" t="s">
        <v>410</v>
      </c>
      <c r="C106" s="39" t="s">
        <v>338</v>
      </c>
      <c r="D106" s="80" t="s">
        <v>396</v>
      </c>
      <c r="E106" s="76" t="s">
        <v>83</v>
      </c>
      <c r="F106" s="80" t="s">
        <v>308</v>
      </c>
      <c r="G106" s="81"/>
      <c r="H106" s="41"/>
      <c r="I106" s="79" t="s">
        <v>420</v>
      </c>
    </row>
    <row r="107" spans="1:9" ht="26.4" x14ac:dyDescent="0.25">
      <c r="A107" s="73" t="s">
        <v>349</v>
      </c>
      <c r="B107" s="80" t="s">
        <v>421</v>
      </c>
      <c r="C107" s="39" t="s">
        <v>422</v>
      </c>
      <c r="D107" s="39" t="s">
        <v>423</v>
      </c>
      <c r="E107" s="76" t="s">
        <v>83</v>
      </c>
      <c r="F107" s="80" t="s">
        <v>308</v>
      </c>
      <c r="G107" s="81">
        <v>568056.96202531643</v>
      </c>
      <c r="H107" s="41">
        <v>2014</v>
      </c>
      <c r="I107" s="79" t="s">
        <v>313</v>
      </c>
    </row>
    <row r="108" spans="1:9" ht="26.4" x14ac:dyDescent="0.25">
      <c r="A108" s="73" t="s">
        <v>349</v>
      </c>
      <c r="B108" s="80" t="s">
        <v>467</v>
      </c>
      <c r="C108" s="39" t="s">
        <v>422</v>
      </c>
      <c r="D108" s="39" t="s">
        <v>468</v>
      </c>
      <c r="E108" s="76" t="s">
        <v>83</v>
      </c>
      <c r="F108" s="80" t="s">
        <v>469</v>
      </c>
      <c r="G108" s="81">
        <v>474683.54430379748</v>
      </c>
      <c r="H108" s="41">
        <v>2014</v>
      </c>
      <c r="I108" s="79" t="s">
        <v>313</v>
      </c>
    </row>
    <row r="109" spans="1:9" ht="26.4" x14ac:dyDescent="0.25">
      <c r="A109" s="73" t="s">
        <v>349</v>
      </c>
      <c r="B109" s="80" t="s">
        <v>470</v>
      </c>
      <c r="C109" s="39" t="s">
        <v>422</v>
      </c>
      <c r="D109" s="39" t="s">
        <v>471</v>
      </c>
      <c r="E109" s="76" t="s">
        <v>83</v>
      </c>
      <c r="F109" s="80" t="s">
        <v>469</v>
      </c>
      <c r="G109" s="81">
        <v>632911.39240506326</v>
      </c>
      <c r="H109" s="41">
        <v>2014</v>
      </c>
      <c r="I109" s="79" t="s">
        <v>313</v>
      </c>
    </row>
    <row r="110" spans="1:9" x14ac:dyDescent="0.25">
      <c r="A110" s="73" t="s">
        <v>349</v>
      </c>
      <c r="B110" s="80" t="s">
        <v>472</v>
      </c>
      <c r="C110" s="39" t="s">
        <v>473</v>
      </c>
      <c r="D110" s="39" t="s">
        <v>474</v>
      </c>
      <c r="E110" s="76" t="s">
        <v>83</v>
      </c>
      <c r="F110" s="80" t="s">
        <v>475</v>
      </c>
      <c r="G110" s="81">
        <v>697503.16455696197</v>
      </c>
      <c r="H110" s="41">
        <v>2014</v>
      </c>
      <c r="I110" s="79" t="s">
        <v>313</v>
      </c>
    </row>
    <row r="111" spans="1:9" ht="26.4" x14ac:dyDescent="0.25">
      <c r="A111" s="73" t="s">
        <v>349</v>
      </c>
      <c r="B111" s="80" t="s">
        <v>491</v>
      </c>
      <c r="C111" s="39" t="s">
        <v>32</v>
      </c>
      <c r="D111" s="39" t="s">
        <v>492</v>
      </c>
      <c r="E111" s="76" t="s">
        <v>83</v>
      </c>
      <c r="F111" s="80" t="s">
        <v>469</v>
      </c>
      <c r="G111" s="81">
        <v>929136.07594936714</v>
      </c>
      <c r="H111" s="41">
        <v>2014</v>
      </c>
      <c r="I111" s="79" t="s">
        <v>313</v>
      </c>
    </row>
    <row r="112" spans="1:9" x14ac:dyDescent="0.25">
      <c r="A112" s="73" t="s">
        <v>349</v>
      </c>
      <c r="B112" s="80" t="s">
        <v>493</v>
      </c>
      <c r="C112" s="39" t="s">
        <v>494</v>
      </c>
      <c r="D112" s="39" t="s">
        <v>447</v>
      </c>
      <c r="E112" s="76" t="s">
        <v>83</v>
      </c>
      <c r="F112" s="80" t="s">
        <v>469</v>
      </c>
      <c r="G112" s="81">
        <v>22376697.784810126</v>
      </c>
      <c r="H112" s="41">
        <v>2014</v>
      </c>
      <c r="I112" s="79" t="s">
        <v>313</v>
      </c>
    </row>
    <row r="113" spans="1:9" x14ac:dyDescent="0.25">
      <c r="A113" s="73" t="s">
        <v>349</v>
      </c>
      <c r="B113" s="80" t="s">
        <v>448</v>
      </c>
      <c r="C113" s="39" t="s">
        <v>249</v>
      </c>
      <c r="D113" s="39" t="s">
        <v>449</v>
      </c>
      <c r="E113" s="76" t="s">
        <v>83</v>
      </c>
      <c r="F113" s="80" t="s">
        <v>469</v>
      </c>
      <c r="G113" s="81">
        <f>320000/0.632</f>
        <v>506329.11392405065</v>
      </c>
      <c r="H113" s="41"/>
      <c r="I113" s="79"/>
    </row>
    <row r="114" spans="1:9" x14ac:dyDescent="0.25">
      <c r="A114" s="73" t="s">
        <v>349</v>
      </c>
      <c r="B114" s="80" t="s">
        <v>450</v>
      </c>
      <c r="C114" s="39" t="s">
        <v>249</v>
      </c>
      <c r="D114" s="39" t="s">
        <v>451</v>
      </c>
      <c r="E114" s="76" t="s">
        <v>83</v>
      </c>
      <c r="F114" s="80" t="s">
        <v>469</v>
      </c>
      <c r="G114" s="81">
        <v>417208.86075949366</v>
      </c>
      <c r="H114" s="41">
        <v>2014</v>
      </c>
      <c r="I114" s="79" t="s">
        <v>313</v>
      </c>
    </row>
    <row r="115" spans="1:9" x14ac:dyDescent="0.25">
      <c r="A115" s="73" t="s">
        <v>349</v>
      </c>
      <c r="B115" s="80" t="s">
        <v>452</v>
      </c>
      <c r="C115" s="39" t="s">
        <v>249</v>
      </c>
      <c r="D115" s="39" t="s">
        <v>453</v>
      </c>
      <c r="E115" s="76" t="s">
        <v>83</v>
      </c>
      <c r="F115" s="80" t="s">
        <v>308</v>
      </c>
      <c r="G115" s="81">
        <v>4177215.1898734178</v>
      </c>
      <c r="H115" s="41">
        <v>2014</v>
      </c>
      <c r="I115" s="79" t="s">
        <v>313</v>
      </c>
    </row>
    <row r="116" spans="1:9" ht="26.4" x14ac:dyDescent="0.25">
      <c r="A116" s="73" t="s">
        <v>349</v>
      </c>
      <c r="B116" s="80" t="s">
        <v>360</v>
      </c>
      <c r="C116" s="39" t="s">
        <v>249</v>
      </c>
      <c r="D116" s="80" t="s">
        <v>361</v>
      </c>
      <c r="E116" s="76" t="s">
        <v>83</v>
      </c>
      <c r="F116" s="80" t="s">
        <v>308</v>
      </c>
      <c r="G116" s="81">
        <v>913310.12658227852</v>
      </c>
      <c r="H116" s="41">
        <v>2014</v>
      </c>
      <c r="I116" s="79" t="s">
        <v>313</v>
      </c>
    </row>
    <row r="117" spans="1:9" ht="26.4" x14ac:dyDescent="0.25">
      <c r="A117" s="73" t="s">
        <v>349</v>
      </c>
      <c r="B117" s="80" t="s">
        <v>362</v>
      </c>
      <c r="C117" s="39" t="s">
        <v>249</v>
      </c>
      <c r="D117" s="80" t="s">
        <v>361</v>
      </c>
      <c r="E117" s="76" t="s">
        <v>83</v>
      </c>
      <c r="F117" s="80" t="s">
        <v>308</v>
      </c>
      <c r="G117" s="81">
        <v>185708.86075949366</v>
      </c>
      <c r="H117" s="41">
        <v>2014</v>
      </c>
      <c r="I117" s="79" t="s">
        <v>313</v>
      </c>
    </row>
    <row r="118" spans="1:9" ht="26.4" x14ac:dyDescent="0.25">
      <c r="A118" s="73" t="s">
        <v>349</v>
      </c>
      <c r="B118" s="80" t="s">
        <v>363</v>
      </c>
      <c r="C118" s="39" t="s">
        <v>364</v>
      </c>
      <c r="D118" s="80" t="s">
        <v>365</v>
      </c>
      <c r="E118" s="76" t="s">
        <v>83</v>
      </c>
      <c r="F118" s="80" t="s">
        <v>385</v>
      </c>
      <c r="G118" s="81">
        <v>43963.607594936708</v>
      </c>
      <c r="H118" s="41">
        <v>2014</v>
      </c>
      <c r="I118" s="79" t="s">
        <v>313</v>
      </c>
    </row>
    <row r="119" spans="1:9" x14ac:dyDescent="0.25">
      <c r="A119" s="73" t="s">
        <v>349</v>
      </c>
      <c r="B119" s="80" t="s">
        <v>366</v>
      </c>
      <c r="C119" s="39" t="s">
        <v>367</v>
      </c>
      <c r="D119" s="39" t="s">
        <v>335</v>
      </c>
      <c r="E119" s="76" t="s">
        <v>83</v>
      </c>
      <c r="F119" s="80" t="s">
        <v>308</v>
      </c>
      <c r="G119" s="81">
        <v>2541281.6455696202</v>
      </c>
      <c r="H119" s="41">
        <v>2014</v>
      </c>
      <c r="I119" s="79" t="s">
        <v>313</v>
      </c>
    </row>
    <row r="120" spans="1:9" ht="26.4" x14ac:dyDescent="0.25">
      <c r="A120" s="73" t="s">
        <v>349</v>
      </c>
      <c r="B120" s="80" t="s">
        <v>368</v>
      </c>
      <c r="C120" s="39" t="s">
        <v>369</v>
      </c>
      <c r="D120" s="39" t="s">
        <v>370</v>
      </c>
      <c r="E120" s="76" t="s">
        <v>83</v>
      </c>
      <c r="F120" s="80" t="s">
        <v>308</v>
      </c>
      <c r="G120" s="81">
        <v>98389.240506329108</v>
      </c>
      <c r="H120" s="41">
        <v>2014</v>
      </c>
      <c r="I120" s="79" t="s">
        <v>313</v>
      </c>
    </row>
    <row r="121" spans="1:9" x14ac:dyDescent="0.25">
      <c r="A121" s="73" t="s">
        <v>349</v>
      </c>
      <c r="B121" s="80" t="s">
        <v>371</v>
      </c>
      <c r="C121" s="39" t="s">
        <v>252</v>
      </c>
      <c r="D121" s="39" t="s">
        <v>418</v>
      </c>
      <c r="E121" s="76" t="s">
        <v>83</v>
      </c>
      <c r="F121" s="80" t="s">
        <v>308</v>
      </c>
      <c r="G121" s="81">
        <v>88302.215189873416</v>
      </c>
      <c r="H121" s="41">
        <v>2014</v>
      </c>
      <c r="I121" s="79" t="s">
        <v>313</v>
      </c>
    </row>
    <row r="122" spans="1:9" x14ac:dyDescent="0.25">
      <c r="A122" s="73" t="s">
        <v>349</v>
      </c>
      <c r="B122" s="80" t="s">
        <v>419</v>
      </c>
      <c r="C122" s="39" t="s">
        <v>252</v>
      </c>
      <c r="D122" s="39" t="s">
        <v>391</v>
      </c>
      <c r="E122" s="76" t="s">
        <v>83</v>
      </c>
      <c r="F122" s="80" t="s">
        <v>308</v>
      </c>
      <c r="G122" s="81">
        <v>727848.10126582277</v>
      </c>
      <c r="H122" s="41">
        <v>2014</v>
      </c>
      <c r="I122" s="79" t="s">
        <v>313</v>
      </c>
    </row>
    <row r="123" spans="1:9" x14ac:dyDescent="0.25">
      <c r="A123" s="73" t="s">
        <v>349</v>
      </c>
      <c r="B123" s="80" t="s">
        <v>392</v>
      </c>
      <c r="C123" s="39" t="s">
        <v>252</v>
      </c>
      <c r="D123" s="39" t="s">
        <v>418</v>
      </c>
      <c r="E123" s="76" t="s">
        <v>83</v>
      </c>
      <c r="F123" s="80" t="s">
        <v>308</v>
      </c>
      <c r="G123" s="81">
        <v>101514.24050632911</v>
      </c>
      <c r="H123" s="41">
        <v>2014</v>
      </c>
      <c r="I123" s="79" t="s">
        <v>313</v>
      </c>
    </row>
    <row r="124" spans="1:9" x14ac:dyDescent="0.25">
      <c r="A124" s="73" t="s">
        <v>349</v>
      </c>
      <c r="B124" s="80" t="s">
        <v>393</v>
      </c>
      <c r="C124" s="39" t="s">
        <v>252</v>
      </c>
      <c r="D124" s="39" t="s">
        <v>394</v>
      </c>
      <c r="E124" s="76" t="s">
        <v>83</v>
      </c>
      <c r="F124" s="80" t="s">
        <v>308</v>
      </c>
      <c r="G124" s="81">
        <v>53952.531645569623</v>
      </c>
      <c r="H124" s="41">
        <v>2014</v>
      </c>
      <c r="I124" s="79" t="s">
        <v>313</v>
      </c>
    </row>
    <row r="125" spans="1:9" ht="26.4" x14ac:dyDescent="0.25">
      <c r="A125" s="73" t="s">
        <v>349</v>
      </c>
      <c r="B125" s="80" t="s">
        <v>395</v>
      </c>
      <c r="C125" s="39" t="s">
        <v>252</v>
      </c>
      <c r="D125" s="80" t="s">
        <v>433</v>
      </c>
      <c r="E125" s="76" t="s">
        <v>83</v>
      </c>
      <c r="F125" s="80" t="s">
        <v>308</v>
      </c>
      <c r="G125" s="81">
        <v>173753.16455696203</v>
      </c>
      <c r="H125" s="41">
        <v>2014</v>
      </c>
      <c r="I125" s="79" t="s">
        <v>313</v>
      </c>
    </row>
    <row r="126" spans="1:9" ht="26.4" x14ac:dyDescent="0.25">
      <c r="A126" s="73" t="s">
        <v>349</v>
      </c>
      <c r="B126" s="80" t="s">
        <v>434</v>
      </c>
      <c r="C126" s="39" t="s">
        <v>252</v>
      </c>
      <c r="D126" s="80" t="s">
        <v>435</v>
      </c>
      <c r="E126" s="76" t="s">
        <v>83</v>
      </c>
      <c r="F126" s="80" t="s">
        <v>308</v>
      </c>
      <c r="G126" s="81">
        <v>254631.32911392406</v>
      </c>
      <c r="H126" s="41">
        <v>2014</v>
      </c>
      <c r="I126" s="79" t="s">
        <v>313</v>
      </c>
    </row>
    <row r="127" spans="1:9" ht="26.4" x14ac:dyDescent="0.25">
      <c r="A127" s="73" t="s">
        <v>349</v>
      </c>
      <c r="B127" s="80" t="s">
        <v>436</v>
      </c>
      <c r="C127" s="39" t="s">
        <v>252</v>
      </c>
      <c r="D127" s="80" t="s">
        <v>361</v>
      </c>
      <c r="E127" s="76" t="s">
        <v>83</v>
      </c>
      <c r="F127" s="80" t="s">
        <v>308</v>
      </c>
      <c r="G127" s="81">
        <v>847357.5949367088</v>
      </c>
      <c r="H127" s="41">
        <v>2014</v>
      </c>
      <c r="I127" s="79" t="s">
        <v>313</v>
      </c>
    </row>
    <row r="128" spans="1:9" ht="26.4" x14ac:dyDescent="0.25">
      <c r="A128" s="73" t="s">
        <v>349</v>
      </c>
      <c r="B128" s="80" t="s">
        <v>437</v>
      </c>
      <c r="C128" s="39" t="s">
        <v>252</v>
      </c>
      <c r="D128" s="80" t="s">
        <v>438</v>
      </c>
      <c r="E128" s="76" t="s">
        <v>83</v>
      </c>
      <c r="F128" s="80" t="s">
        <v>308</v>
      </c>
      <c r="G128" s="81">
        <v>3335137.6582278479</v>
      </c>
      <c r="H128" s="41">
        <v>2014</v>
      </c>
      <c r="I128" s="79" t="s">
        <v>313</v>
      </c>
    </row>
    <row r="129" spans="1:9" x14ac:dyDescent="0.25">
      <c r="A129" s="73" t="s">
        <v>349</v>
      </c>
      <c r="B129" s="80" t="s">
        <v>439</v>
      </c>
      <c r="C129" s="39" t="s">
        <v>344</v>
      </c>
      <c r="D129" s="39" t="s">
        <v>433</v>
      </c>
      <c r="E129" s="76" t="s">
        <v>83</v>
      </c>
      <c r="F129" s="80" t="s">
        <v>308</v>
      </c>
      <c r="G129" s="81">
        <v>237925.6329113924</v>
      </c>
      <c r="H129" s="41">
        <v>2014</v>
      </c>
      <c r="I129" s="79" t="s">
        <v>313</v>
      </c>
    </row>
    <row r="130" spans="1:9" x14ac:dyDescent="0.25">
      <c r="A130" s="73" t="s">
        <v>349</v>
      </c>
      <c r="B130" s="80" t="s">
        <v>440</v>
      </c>
      <c r="C130" s="39" t="s">
        <v>441</v>
      </c>
      <c r="D130" s="39" t="s">
        <v>442</v>
      </c>
      <c r="E130" s="76" t="s">
        <v>83</v>
      </c>
      <c r="F130" s="80" t="s">
        <v>385</v>
      </c>
      <c r="G130" s="81">
        <v>88859.177215189877</v>
      </c>
      <c r="H130" s="41">
        <v>2014</v>
      </c>
      <c r="I130" s="79" t="s">
        <v>313</v>
      </c>
    </row>
    <row r="131" spans="1:9" ht="26.4" x14ac:dyDescent="0.25">
      <c r="A131" s="73" t="s">
        <v>349</v>
      </c>
      <c r="B131" s="80" t="s">
        <v>443</v>
      </c>
      <c r="C131" s="39" t="s">
        <v>351</v>
      </c>
      <c r="D131" s="80" t="s">
        <v>484</v>
      </c>
      <c r="E131" s="76" t="s">
        <v>83</v>
      </c>
      <c r="F131" s="80" t="s">
        <v>308</v>
      </c>
      <c r="G131" s="81">
        <v>143131.32911392406</v>
      </c>
      <c r="H131" s="41">
        <v>2014</v>
      </c>
      <c r="I131" s="79" t="s">
        <v>313</v>
      </c>
    </row>
    <row r="132" spans="1:9" ht="26.4" x14ac:dyDescent="0.25">
      <c r="A132" s="73" t="s">
        <v>349</v>
      </c>
      <c r="B132" s="80" t="s">
        <v>485</v>
      </c>
      <c r="C132" s="39" t="s">
        <v>351</v>
      </c>
      <c r="D132" s="80" t="s">
        <v>486</v>
      </c>
      <c r="E132" s="76" t="s">
        <v>83</v>
      </c>
      <c r="F132" s="80" t="s">
        <v>308</v>
      </c>
      <c r="G132" s="81">
        <v>12039715.189873418</v>
      </c>
      <c r="H132" s="41">
        <v>2014</v>
      </c>
      <c r="I132" s="79" t="s">
        <v>313</v>
      </c>
    </row>
    <row r="133" spans="1:9" x14ac:dyDescent="0.25">
      <c r="A133" s="73" t="s">
        <v>349</v>
      </c>
      <c r="B133" s="80" t="s">
        <v>487</v>
      </c>
      <c r="C133" s="39" t="s">
        <v>351</v>
      </c>
      <c r="D133" s="39" t="s">
        <v>488</v>
      </c>
      <c r="E133" s="76" t="s">
        <v>83</v>
      </c>
      <c r="F133" s="80" t="s">
        <v>385</v>
      </c>
      <c r="G133" s="81">
        <v>2532754.7468354432</v>
      </c>
      <c r="H133" s="41">
        <v>2014</v>
      </c>
      <c r="I133" s="79" t="s">
        <v>313</v>
      </c>
    </row>
    <row r="134" spans="1:9" s="43" customFormat="1" x14ac:dyDescent="0.25">
      <c r="A134" s="44" t="s">
        <v>489</v>
      </c>
      <c r="B134" s="45" t="s">
        <v>490</v>
      </c>
      <c r="C134" s="45" t="s">
        <v>481</v>
      </c>
      <c r="D134" s="45" t="s">
        <v>387</v>
      </c>
      <c r="E134" s="76" t="s">
        <v>83</v>
      </c>
      <c r="F134" s="45" t="s">
        <v>308</v>
      </c>
      <c r="G134" s="46">
        <v>2963097</v>
      </c>
      <c r="H134" s="47">
        <v>2013</v>
      </c>
      <c r="I134" s="48" t="s">
        <v>388</v>
      </c>
    </row>
    <row r="135" spans="1:9" s="43" customFormat="1" x14ac:dyDescent="0.25">
      <c r="A135" s="44" t="s">
        <v>489</v>
      </c>
      <c r="B135" s="45" t="s">
        <v>389</v>
      </c>
      <c r="C135" s="45" t="s">
        <v>390</v>
      </c>
      <c r="D135" s="45" t="s">
        <v>476</v>
      </c>
      <c r="E135" s="76" t="s">
        <v>83</v>
      </c>
      <c r="F135" s="45" t="s">
        <v>477</v>
      </c>
      <c r="G135" s="46">
        <v>4105263</v>
      </c>
      <c r="H135" s="47">
        <v>2013</v>
      </c>
      <c r="I135" s="48" t="s">
        <v>478</v>
      </c>
    </row>
    <row r="136" spans="1:9" s="43" customFormat="1" x14ac:dyDescent="0.25">
      <c r="A136" s="44" t="s">
        <v>489</v>
      </c>
      <c r="B136" s="45" t="s">
        <v>479</v>
      </c>
      <c r="C136" s="45" t="s">
        <v>480</v>
      </c>
      <c r="D136" s="45" t="s">
        <v>414</v>
      </c>
      <c r="E136" s="76" t="s">
        <v>83</v>
      </c>
      <c r="F136" s="45" t="s">
        <v>385</v>
      </c>
      <c r="G136" s="46">
        <v>24382185</v>
      </c>
      <c r="H136" s="47">
        <v>2014</v>
      </c>
      <c r="I136" s="48" t="s">
        <v>415</v>
      </c>
    </row>
    <row r="137" spans="1:9" s="43" customFormat="1" x14ac:dyDescent="0.25">
      <c r="A137" s="44" t="s">
        <v>489</v>
      </c>
      <c r="B137" s="45" t="s">
        <v>416</v>
      </c>
      <c r="C137" s="45" t="s">
        <v>417</v>
      </c>
      <c r="D137" s="45" t="s">
        <v>463</v>
      </c>
      <c r="E137" s="76" t="s">
        <v>83</v>
      </c>
      <c r="F137" s="45" t="s">
        <v>308</v>
      </c>
      <c r="G137" s="46">
        <v>16925018</v>
      </c>
      <c r="H137" s="47">
        <v>2013</v>
      </c>
      <c r="I137" s="48" t="s">
        <v>464</v>
      </c>
    </row>
    <row r="138" spans="1:9" s="43" customFormat="1" x14ac:dyDescent="0.25">
      <c r="A138" s="44" t="s">
        <v>74</v>
      </c>
      <c r="B138" s="45" t="s">
        <v>465</v>
      </c>
      <c r="C138" s="45" t="s">
        <v>466</v>
      </c>
      <c r="D138" s="45" t="s">
        <v>483</v>
      </c>
      <c r="E138" s="76" t="s">
        <v>83</v>
      </c>
      <c r="F138" s="45" t="s">
        <v>385</v>
      </c>
      <c r="G138" s="46">
        <v>30000000</v>
      </c>
      <c r="H138" s="47">
        <v>2014</v>
      </c>
      <c r="I138" s="48" t="s">
        <v>454</v>
      </c>
    </row>
    <row r="139" spans="1:9" s="43" customFormat="1" x14ac:dyDescent="0.25">
      <c r="A139" s="44" t="s">
        <v>455</v>
      </c>
      <c r="B139" s="45" t="s">
        <v>456</v>
      </c>
      <c r="C139" s="45" t="s">
        <v>457</v>
      </c>
      <c r="D139" s="45" t="s">
        <v>458</v>
      </c>
      <c r="E139" s="76" t="s">
        <v>83</v>
      </c>
      <c r="F139" s="45" t="s">
        <v>459</v>
      </c>
      <c r="G139" s="46"/>
      <c r="H139" s="47">
        <v>2013</v>
      </c>
      <c r="I139" s="83" t="s">
        <v>460</v>
      </c>
    </row>
    <row r="140" spans="1:9" s="43" customFormat="1" ht="13.8" thickBot="1" x14ac:dyDescent="0.3">
      <c r="A140" s="84" t="s">
        <v>455</v>
      </c>
      <c r="B140" s="85" t="s">
        <v>461</v>
      </c>
      <c r="C140" s="85" t="s">
        <v>462</v>
      </c>
      <c r="D140" s="85" t="s">
        <v>428</v>
      </c>
      <c r="E140" s="86" t="s">
        <v>83</v>
      </c>
      <c r="F140" s="85" t="s">
        <v>459</v>
      </c>
      <c r="G140" s="87">
        <v>17500000</v>
      </c>
      <c r="H140" s="88">
        <v>2014</v>
      </c>
      <c r="I140" s="89" t="s">
        <v>460</v>
      </c>
    </row>
    <row r="141" spans="1:9" s="43" customFormat="1" x14ac:dyDescent="0.25">
      <c r="E141" s="3"/>
      <c r="G141" s="90">
        <f>SUM(G4:G140)</f>
        <v>9251956830.645565</v>
      </c>
      <c r="H141" s="91"/>
      <c r="I141" s="91"/>
    </row>
    <row r="142" spans="1:9" x14ac:dyDescent="0.25">
      <c r="A142" s="43" t="s">
        <v>429</v>
      </c>
    </row>
    <row r="144" spans="1:9" ht="13.8" thickBot="1" x14ac:dyDescent="0.3"/>
    <row r="145" spans="1:8" s="27" customFormat="1" ht="40.200000000000003" thickBot="1" x14ac:dyDescent="0.3">
      <c r="A145" s="50" t="s">
        <v>44</v>
      </c>
      <c r="B145" s="51" t="s">
        <v>54</v>
      </c>
      <c r="C145" s="51" t="s">
        <v>34</v>
      </c>
      <c r="D145" s="51" t="s">
        <v>35</v>
      </c>
      <c r="E145" s="51" t="s">
        <v>36</v>
      </c>
      <c r="F145" s="52" t="s">
        <v>430</v>
      </c>
      <c r="G145" s="53" t="s">
        <v>431</v>
      </c>
      <c r="H145" s="54" t="s">
        <v>37</v>
      </c>
    </row>
    <row r="146" spans="1:8" x14ac:dyDescent="0.25">
      <c r="A146" s="55" t="s">
        <v>432</v>
      </c>
      <c r="B146" s="92">
        <f>SUMPRODUCT(((E4:E140="coal")*(F4:F140="upstream")*(A4:A140="Royal Bank of Scotland")),G4:G140)/1000000</f>
        <v>0</v>
      </c>
      <c r="C146" s="92">
        <f>SUMPRODUCT(((E4:E140="coal")*(F4:F140="downstream")*(A4:A140="Royal Bank of Scotland")),G4:G140)/1000000</f>
        <v>0</v>
      </c>
      <c r="D146" s="92">
        <f>SUMPRODUCT(((E4:E140="oil&amp;gas")*(F4:F140="upstream")*(A4:A140="Royal Bank of Scotland")),G4:G140)/1000000</f>
        <v>1916.43</v>
      </c>
      <c r="E146" s="92">
        <f>SUMPRODUCT(((E4:E140="oil&amp;gas")*(F4:F140="downstream")*(A4:A140="Royal Bank of Scotland")),G4:G140)/1000000</f>
        <v>871.69</v>
      </c>
      <c r="F146" s="92">
        <f>SUMPRODUCT(((F4:F140="midstream")*(A4:A140="Royal Bank of Scotland")),G4:G140)/1000000</f>
        <v>5190.55</v>
      </c>
      <c r="G146" s="56">
        <f>SUM(B146:F146)</f>
        <v>7978.67</v>
      </c>
      <c r="H146" s="57">
        <f>G146/2</f>
        <v>3989.335</v>
      </c>
    </row>
    <row r="147" spans="1:8" x14ac:dyDescent="0.25">
      <c r="A147" s="58" t="s">
        <v>3</v>
      </c>
      <c r="B147" s="93">
        <f>SUMPRODUCT(((E4:E141="coal")*(F4:F141="upstream")*(A4:A141="UK Export Finance")),G4:G141)/1000000</f>
        <v>0</v>
      </c>
      <c r="C147" s="93">
        <f>SUMPRODUCT(((E4:E141="coal")*(F4:F141="downstream")*(A4:A141="UK Export Finance")),G4:G141)/1000000</f>
        <v>0.92829430379746791</v>
      </c>
      <c r="D147" s="93">
        <f>SUMPRODUCT(((E4:E141="oil&amp;gas")*(F4:F141="upstream")*(A4:A141="UK Export Finance")),G4:G141)/1000000</f>
        <v>865.78309059493654</v>
      </c>
      <c r="E147" s="93">
        <f>SUMPRODUCT(((E4:E141="oil&amp;gas")*(F4:F141="downstream")*(A4:A141="UK Export Finance")),G4:G141)/1000000</f>
        <v>310.66818174683544</v>
      </c>
      <c r="F147" s="93">
        <f>SUMPRODUCT(((F4:F141="midstream")*(A4:A141="UK Export Finance")),G4:G141)/1000000</f>
        <v>3.1701E-2</v>
      </c>
      <c r="G147" s="59">
        <f>SUM(B147:F147)</f>
        <v>1177.4112676455695</v>
      </c>
      <c r="H147" s="60">
        <f>G147/2</f>
        <v>588.70563382278476</v>
      </c>
    </row>
    <row r="148" spans="1:8" x14ac:dyDescent="0.25">
      <c r="A148" s="58" t="s">
        <v>4</v>
      </c>
      <c r="B148" s="93">
        <f>SUMPRODUCT(((E4:E140="coal")*(F4:F140="upstream")*(A4:A140="DfID")),G4:G140)/1000000</f>
        <v>0</v>
      </c>
      <c r="C148" s="93">
        <f>SUMPRODUCT(((E4:E140="coal")*(F4:F140="downstream")*(A4:A140="DfID")),G4:G140)/1000000</f>
        <v>0</v>
      </c>
      <c r="D148" s="93">
        <f>SUMPRODUCT(((E4:E140="oil&amp;gas")*(F4:F140="upstream")*(A4:A140="DfID")),G4:G140)/1000000</f>
        <v>19.888114999999999</v>
      </c>
      <c r="E148" s="93">
        <f>SUMPRODUCT(((E4:E141="oil&amp;gas")*(F4:F141="downstream")*(A4:A141="DfID")),G4:G141)/1000000</f>
        <v>24.382185</v>
      </c>
      <c r="F148" s="93">
        <f>SUMPRODUCT(((F4:F140="midstream")*(A4:A140="DfID")),G4:G140)/1000000</f>
        <v>4.1052629999999999</v>
      </c>
      <c r="G148" s="61">
        <f>SUM(B148:F148)</f>
        <v>48.375563</v>
      </c>
      <c r="H148" s="62">
        <f>G148/2</f>
        <v>24.1877815</v>
      </c>
    </row>
    <row r="149" spans="1:8" ht="13.8" thickBot="1" x14ac:dyDescent="0.3">
      <c r="A149" s="63" t="s">
        <v>5</v>
      </c>
      <c r="B149" s="64">
        <v>0</v>
      </c>
      <c r="C149" s="65">
        <v>0</v>
      </c>
      <c r="D149" s="66">
        <v>0</v>
      </c>
      <c r="E149" s="64">
        <f>(G138+G139+G140)/1000000</f>
        <v>47.5</v>
      </c>
      <c r="F149" s="66">
        <v>0</v>
      </c>
      <c r="G149" s="67">
        <f>SUM(B149:F149)</f>
        <v>47.5</v>
      </c>
      <c r="H149" s="68">
        <f>G149/2</f>
        <v>23.75</v>
      </c>
    </row>
    <row r="150" spans="1:8" x14ac:dyDescent="0.25">
      <c r="G150" s="69">
        <f>SUM(G146:G149)</f>
        <v>9251.9568306455694</v>
      </c>
    </row>
  </sheetData>
  <phoneticPr fontId="3" type="noConversion"/>
  <hyperlinks>
    <hyperlink ref="I7" r:id="rId1"/>
    <hyperlink ref="I22" r:id="rId2"/>
    <hyperlink ref="I8" r:id="rId3"/>
    <hyperlink ref="I11" r:id="rId4"/>
    <hyperlink ref="I13" r:id="rId5"/>
    <hyperlink ref="I10" r:id="rId6"/>
    <hyperlink ref="I41" r:id="rId7"/>
    <hyperlink ref="I23" r:id="rId8"/>
    <hyperlink ref="I24" r:id="rId9"/>
    <hyperlink ref="I46" r:id="rId10"/>
    <hyperlink ref="I98" r:id="rId1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true</Key>
    <Document_x0020_Type xmlns="57b417f7-d786-4243-a30f-6aa963038fea">General</Document_x0020_Type>
    <Status xmlns="57b417f7-d786-4243-a30f-6aa963038fea">Active</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94367AB67D8A4E84C9366474BD262F" ma:contentTypeVersion="" ma:contentTypeDescription="Create a new document." ma:contentTypeScope="" ma:versionID="5dc3487b0128b721428201107dcc33db">
  <xsd:schema xmlns:xsd="http://www.w3.org/2001/XMLSchema" xmlns:xs="http://www.w3.org/2001/XMLSchema" xmlns:p="http://schemas.microsoft.com/office/2006/metadata/properties" xmlns:ns2="57b417f7-d786-4243-a30f-6aa963038fea" targetNamespace="http://schemas.microsoft.com/office/2006/metadata/properties" ma:root="true" ma:fieldsID="497597cbed0da86670c9097ac158da60" ns2:_="">
    <xsd:import namespace="57b417f7-d786-4243-a30f-6aa963038fea"/>
    <xsd:element name="properties">
      <xsd:complexType>
        <xsd:sequence>
          <xsd:element name="documentManagement">
            <xsd:complexType>
              <xsd:all>
                <xsd:element ref="ns2:Summary" minOccurs="0"/>
                <xsd:element ref="ns2:Document_x0020_Type"/>
                <xsd:element ref="ns2:Status"/>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1"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5D83FB-F0A1-4589-A397-5A864A457803}">
  <ds:schemaRefs>
    <ds:schemaRef ds:uri="http://www.w3.org/XML/1998/namespace"/>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57b417f7-d786-4243-a30f-6aa963038fea"/>
    <ds:schemaRef ds:uri="http://purl.org/dc/elements/1.1/"/>
  </ds:schemaRefs>
</ds:datastoreItem>
</file>

<file path=customXml/itemProps2.xml><?xml version="1.0" encoding="utf-8"?>
<ds:datastoreItem xmlns:ds="http://schemas.openxmlformats.org/officeDocument/2006/customXml" ds:itemID="{7EAE429E-C871-464A-8A58-9942C0F4703F}">
  <ds:schemaRefs>
    <ds:schemaRef ds:uri="http://schemas.microsoft.com/sharepoint/v3/contenttype/forms"/>
  </ds:schemaRefs>
</ds:datastoreItem>
</file>

<file path=customXml/itemProps3.xml><?xml version="1.0" encoding="utf-8"?>
<ds:datastoreItem xmlns:ds="http://schemas.openxmlformats.org/officeDocument/2006/customXml" ds:itemID="{C8345600-A959-432C-BD45-1B2D53E76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United Kingdom Data Sheet</dc:title>
  <dc:creator>Sam Pickard</dc:creator>
  <cp:lastModifiedBy>swhitley</cp:lastModifiedBy>
  <dcterms:created xsi:type="dcterms:W3CDTF">2015-08-18T14:38:53Z</dcterms:created>
  <dcterms:modified xsi:type="dcterms:W3CDTF">2016-04-20T13:11:09Z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0x0101006294367AB67D8A4E84C9366474BD262F</vt:lpwstr>
  </property>
</Properties>
</file>