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https://overseasdevelopmenti-my.sharepoint.com/personal/c_zajicek_odi_org_uk/Documents/Cluster comms/Climate and energy policy/FFS datasheets/FINAL FOR DESIGN/"/>
    </mc:Choice>
  </mc:AlternateContent>
  <bookViews>
    <workbookView xWindow="0" yWindow="0" windowWidth="18640" windowHeight="6930"/>
  </bookViews>
  <sheets>
    <sheet name="Overview" sheetId="11" r:id="rId1"/>
    <sheet name="Summary" sheetId="5" r:id="rId2"/>
    <sheet name="Fiscal support" sheetId="6" r:id="rId3"/>
    <sheet name="Public finance (domestic + EU)" sheetId="8" r:id="rId4"/>
    <sheet name="Public finance (international)" sheetId="9" r:id="rId5"/>
    <sheet name="SOE investment" sheetId="10" r:id="rId6"/>
  </sheets>
  <definedNames>
    <definedName name="_xlnm._FilterDatabase" localSheetId="2" hidden="1">'Fiscal support'!$A$4:$N$21</definedName>
    <definedName name="_xlnm._FilterDatabase" localSheetId="3" hidden="1">'Public finance (domestic + EU)'!$A$4:$M$7</definedName>
    <definedName name="_xlnm._FilterDatabase" localSheetId="5" hidden="1">'SOE investment'!$A$4:$M$13</definedName>
  </definedNames>
  <calcPr calcId="171027"/>
</workbook>
</file>

<file path=xl/calcChain.xml><?xml version="1.0" encoding="utf-8"?>
<calcChain xmlns="http://schemas.openxmlformats.org/spreadsheetml/2006/main">
  <c r="W11" i="5" l="1"/>
  <c r="W10" i="5"/>
  <c r="W9" i="5"/>
  <c r="O8" i="5"/>
  <c r="N8" i="5"/>
  <c r="W7" i="5"/>
  <c r="W8" i="5" l="1"/>
  <c r="K19" i="6" l="1"/>
  <c r="K20" i="6"/>
  <c r="L19" i="6" l="1"/>
  <c r="I8" i="10"/>
  <c r="H8" i="10"/>
  <c r="J5" i="10"/>
  <c r="I5" i="10"/>
  <c r="H5" i="10"/>
  <c r="L13" i="10"/>
  <c r="K13" i="10"/>
  <c r="K12" i="10"/>
  <c r="L12" i="10" s="1"/>
  <c r="L11" i="10"/>
  <c r="K11" i="10"/>
  <c r="L10" i="10"/>
  <c r="K10" i="10"/>
  <c r="L9" i="10"/>
  <c r="K9" i="10"/>
  <c r="K8" i="10"/>
  <c r="J7" i="10"/>
  <c r="I7" i="10"/>
  <c r="H7" i="10"/>
  <c r="L7" i="10" s="1"/>
  <c r="J6" i="10"/>
  <c r="I6" i="10"/>
  <c r="H6" i="10"/>
  <c r="K5" i="9"/>
  <c r="K6" i="8"/>
  <c r="K5" i="8"/>
  <c r="L5" i="8" s="1"/>
  <c r="K21" i="6"/>
  <c r="J21" i="6"/>
  <c r="I21" i="6"/>
  <c r="H21" i="6"/>
  <c r="L20" i="6"/>
  <c r="L18" i="6"/>
  <c r="L16" i="6"/>
  <c r="K7" i="6"/>
  <c r="L7" i="6" s="1"/>
  <c r="K6" i="6"/>
  <c r="K5" i="6"/>
  <c r="L5" i="6" s="1"/>
  <c r="K7" i="10" l="1"/>
  <c r="L6" i="8"/>
  <c r="L6" i="6"/>
  <c r="K6" i="10"/>
  <c r="L8" i="10"/>
  <c r="L5" i="10"/>
  <c r="L6" i="10"/>
  <c r="K5" i="10"/>
  <c r="B8" i="5" l="1"/>
  <c r="C8" i="5"/>
  <c r="K8" i="5" s="1"/>
  <c r="K11" i="5"/>
  <c r="K10" i="5"/>
  <c r="K9" i="5"/>
  <c r="K7" i="5"/>
</calcChain>
</file>

<file path=xl/sharedStrings.xml><?xml version="1.0" encoding="utf-8"?>
<sst xmlns="http://schemas.openxmlformats.org/spreadsheetml/2006/main" count="395" uniqueCount="140">
  <si>
    <t>Subsidy type</t>
  </si>
  <si>
    <t>Targeted energy source</t>
  </si>
  <si>
    <t>Incidence</t>
  </si>
  <si>
    <t xml:space="preserve">Stage </t>
  </si>
  <si>
    <t>Recipient country 
(for international support)</t>
  </si>
  <si>
    <t>Source</t>
  </si>
  <si>
    <t>Budget expenditure</t>
  </si>
  <si>
    <t>Coal</t>
  </si>
  <si>
    <t>Consumption</t>
  </si>
  <si>
    <t>Notes</t>
  </si>
  <si>
    <t>Ministry of Agriculture and Rural Development</t>
  </si>
  <si>
    <t>Ministry of Economy; Office of Competition and Consumer Protection</t>
  </si>
  <si>
    <t>Gas</t>
  </si>
  <si>
    <t>Tax exemption</t>
  </si>
  <si>
    <t xml:space="preserve">Gas </t>
  </si>
  <si>
    <t>Ecofys 2016</t>
  </si>
  <si>
    <t>Household</t>
  </si>
  <si>
    <t>Oil</t>
  </si>
  <si>
    <t>Government / Public body</t>
  </si>
  <si>
    <t>Transport</t>
  </si>
  <si>
    <t>Industry and business</t>
  </si>
  <si>
    <t>Agriculture</t>
  </si>
  <si>
    <r>
      <rPr>
        <b/>
        <sz val="10"/>
        <rFont val="Calibri"/>
        <family val="2"/>
        <scheme val="minor"/>
      </rPr>
      <t xml:space="preserve">Coal Allowances in Coal Mining Sector: </t>
    </r>
    <r>
      <rPr>
        <sz val="10"/>
        <rFont val="Calibri"/>
        <family val="2"/>
        <scheme val="minor"/>
      </rPr>
      <t>In-kind coal support for coal miners. It is being phased out and replaced by the introduction of cash equivalents</t>
    </r>
  </si>
  <si>
    <r>
      <rPr>
        <b/>
        <sz val="10"/>
        <rFont val="Calibri"/>
        <family val="2"/>
        <scheme val="minor"/>
      </rPr>
      <t>Tax exemption on natural gas for households:</t>
    </r>
    <r>
      <rPr>
        <sz val="10"/>
        <rFont val="Calibri"/>
        <family val="2"/>
        <scheme val="minor"/>
      </rPr>
      <t xml:space="preserve"> Since 2008, households have been exempted from paying the excise tax on natural gas. Until 2010, VAT was the only tax on natural
gas, at a rate of 22%, which was increased to 23% (2011). Since 2013, an excise tax accounts for less
than 0.01 ct/kWh. </t>
    </r>
  </si>
  <si>
    <r>
      <rPr>
        <b/>
        <sz val="10"/>
        <rFont val="Calibri"/>
        <family val="2"/>
        <scheme val="minor"/>
      </rPr>
      <t>Energy Tax Relief for Diesel:</t>
    </r>
    <r>
      <rPr>
        <sz val="10"/>
        <rFont val="Calibri"/>
        <family val="2"/>
        <scheme val="minor"/>
      </rPr>
      <t xml:space="preserve"> Diesel is taxed at a lower rate than gasoline.</t>
    </r>
  </si>
  <si>
    <t>Government/ Public Body</t>
  </si>
  <si>
    <t>EEA 2016</t>
  </si>
  <si>
    <t>Production</t>
  </si>
  <si>
    <t>Aid for Coal Mine Decommissioning</t>
  </si>
  <si>
    <t xml:space="preserve">Aid for Employment Restructuring
</t>
  </si>
  <si>
    <t>n/a</t>
  </si>
  <si>
    <t>Public Support for the Construction and Reconstruction of the Gas Distribution Network</t>
  </si>
  <si>
    <t>Rehabilitation of Regions Damaged by Coal Mining</t>
  </si>
  <si>
    <t>Early Retirement Benefits for Laid Off Miners</t>
  </si>
  <si>
    <r>
      <rPr>
        <b/>
        <sz val="10"/>
        <rFont val="Calibri"/>
        <family val="2"/>
        <scheme val="minor"/>
      </rPr>
      <t>Rebates on Diesel Fuel Tax in Farming</t>
    </r>
    <r>
      <rPr>
        <sz val="10"/>
        <rFont val="Calibri"/>
        <family val="2"/>
        <scheme val="minor"/>
      </rPr>
      <t>: Rebates are financed from the state budget to compensate for application of a minimum tax rate of EUR 21 per 1000 litres to diesel fuel when used for farming purposes as required by EU Council Directive 2003/96/EC. Values are limited to 86 litres per hectare of utilised agricultural area. The Minister of Agriculture and Rural Development determines the exemption rate on a yearly basis. Rebates are processed twice a year.</t>
    </r>
  </si>
  <si>
    <t>Oil and gas</t>
  </si>
  <si>
    <t>RD&amp;D: Carbon Capture and Storage</t>
  </si>
  <si>
    <t>RD&amp;D: Oil and gas</t>
  </si>
  <si>
    <t>RD&amp;D: Coal</t>
  </si>
  <si>
    <t>Multiple or unclear</t>
  </si>
  <si>
    <t>PGE Polska Grupa Energetyczna S.A.</t>
  </si>
  <si>
    <t>SOE Investment</t>
  </si>
  <si>
    <t>ENEA S.A.</t>
  </si>
  <si>
    <t>Grupa Lotos S.A.</t>
  </si>
  <si>
    <t>Lubelski Wegiel Bogdanka SA</t>
  </si>
  <si>
    <r>
      <rPr>
        <b/>
        <sz val="10"/>
        <rFont val="Calibri"/>
        <family val="2"/>
        <scheme val="minor"/>
      </rPr>
      <t>Stranded Costs Compensation</t>
    </r>
    <r>
      <rPr>
        <sz val="10"/>
        <rFont val="Calibri"/>
        <family val="2"/>
        <scheme val="minor"/>
      </rPr>
      <t xml:space="preserve">: subsidies to power plants to compensate them for the termination of long-term Power Purchase Agreements </t>
    </r>
  </si>
  <si>
    <t>Power plants</t>
  </si>
  <si>
    <t>Infrastructure (inc. distribution)</t>
  </si>
  <si>
    <r>
      <rPr>
        <b/>
        <sz val="10"/>
        <rFont val="Calibri"/>
        <family val="2"/>
        <scheme val="minor"/>
      </rPr>
      <t>Operational Capacity Reserve</t>
    </r>
    <r>
      <rPr>
        <sz val="10"/>
        <rFont val="Calibri"/>
        <family val="2"/>
        <scheme val="minor"/>
      </rPr>
      <t xml:space="preserve">: response to the oversupply of electricity and low prices threatening the profitability of some plants </t>
    </r>
  </si>
  <si>
    <t>LOTOS Consolidated Annual report</t>
  </si>
  <si>
    <t>Lubelski Wegiel Bogdanka SA Director's Report on Operations: for the years 2014, 2015 and 2016</t>
  </si>
  <si>
    <t>ENERGA</t>
  </si>
  <si>
    <t>PGNIG Consolidated Annual reports</t>
  </si>
  <si>
    <t>PGNiG</t>
  </si>
  <si>
    <t>Grid</t>
  </si>
  <si>
    <t>PSE Annual Reports</t>
  </si>
  <si>
    <t>GAZ System annual reports</t>
  </si>
  <si>
    <t xml:space="preserve">GAZ-SYSTEM S.A. </t>
  </si>
  <si>
    <t>PSE Operator S.A.</t>
  </si>
  <si>
    <t xml:space="preserve">Coal production </t>
  </si>
  <si>
    <t xml:space="preserve">Oil and gas production </t>
  </si>
  <si>
    <t>Electricity production</t>
  </si>
  <si>
    <t>Households</t>
  </si>
  <si>
    <t>Public finance</t>
  </si>
  <si>
    <t>International</t>
  </si>
  <si>
    <t>KUKE</t>
  </si>
  <si>
    <t>TOTAL</t>
  </si>
  <si>
    <t>Transition support (workers and communities)</t>
  </si>
  <si>
    <t>Decommissioning and rehabilitation</t>
  </si>
  <si>
    <t>Mutiple or unclear</t>
  </si>
  <si>
    <t>Pipelines / storage</t>
  </si>
  <si>
    <t>Kuke website, Annex B - Amasra Hard Coal Productyion Proejct Report</t>
  </si>
  <si>
    <t>KUKE supports purchase of Avalon Sea, a multi-purpose offshore vessel (AHTS) designed to support offshore drilling in harsh Arctic conditions</t>
  </si>
  <si>
    <t>Development, extraction and preparation</t>
  </si>
  <si>
    <t>Supply of mining equipment to Amasra B Coal Mine Project in Turkey</t>
  </si>
  <si>
    <t>Polska Grupa Górnicza</t>
  </si>
  <si>
    <t>Turkey</t>
  </si>
  <si>
    <t>Public finance (domestic and EU)</t>
  </si>
  <si>
    <t>Domestic and EU</t>
  </si>
  <si>
    <t>KUKE Finance and Famur have signed a credit management agreement worth PLN 19.5 million in total</t>
  </si>
  <si>
    <t>BGK Annual reports</t>
  </si>
  <si>
    <t>Capital Expenditure on property, plant and equipment and intangible assets</t>
  </si>
  <si>
    <t>Electricity (coal-fired)</t>
  </si>
  <si>
    <r>
      <rPr>
        <b/>
        <sz val="10"/>
        <rFont val="Calibri"/>
        <family val="2"/>
        <scheme val="minor"/>
      </rPr>
      <t>Intervention Cold Reserve</t>
    </r>
    <r>
      <rPr>
        <sz val="10"/>
        <rFont val="Calibri"/>
        <family val="2"/>
        <scheme val="minor"/>
      </rPr>
      <t>: Strategic reserve introduced at the start of 2016, as an interim measure until introduction of the capacity market.</t>
    </r>
  </si>
  <si>
    <t>Bayer et al (2016)</t>
  </si>
  <si>
    <t>Electricity (unspecified)</t>
  </si>
  <si>
    <t>The market value of the free allowances allocated to Poland was estimated at €1.1 billion per year (between 2013 and 2019)</t>
  </si>
  <si>
    <t>Bankwatch (2016)</t>
  </si>
  <si>
    <t>Contents:</t>
  </si>
  <si>
    <t>Fiscal support</t>
  </si>
  <si>
    <t>Public finance (international)</t>
  </si>
  <si>
    <t>SOE investment</t>
  </si>
  <si>
    <t>Measure or project (written description)</t>
  </si>
  <si>
    <t>Source of subsidy (entity / institution name, or ministry if available)</t>
  </si>
  <si>
    <t>2014
(national currency)</t>
  </si>
  <si>
    <t>2015
(national currency)</t>
  </si>
  <si>
    <t>2016
(national currency)</t>
  </si>
  <si>
    <t>Estimated annual amount
(national currency)</t>
  </si>
  <si>
    <t>Estimated annual amount
(million, EUR)</t>
  </si>
  <si>
    <t>Energa Annual Report (2014)</t>
  </si>
  <si>
    <t>Enea Annual Report (2014)</t>
  </si>
  <si>
    <t>PGE website: financial data</t>
  </si>
  <si>
    <t>Exchange rates used  (PLN/EURO)
2014: 0.238949
2015: 0.239168
2016: 0.234427
2014-16 average: 0.23751467</t>
  </si>
  <si>
    <t>IEA (2017)</t>
  </si>
  <si>
    <t>OECD (2015)</t>
  </si>
  <si>
    <t>Capital Expenditures (CAPEX) by electricity transmission PSA Operator</t>
  </si>
  <si>
    <r>
      <t xml:space="preserve">Capital Expenditure for non-current assets by Lubelski Wegiel Bogdanka coal company: </t>
    </r>
    <r>
      <rPr>
        <sz val="10"/>
        <color theme="1"/>
        <rFont val="Calibri"/>
        <family val="2"/>
        <scheme val="minor"/>
      </rPr>
      <t>included a number of items such as: development investments, including the puchase of machines and equipment, and operational investmens, including construction and upgrade of workings in the Bogdanka, Nadrybie, and Stefanow Fields, as well as upgrades and repairs of machines and equipment, etc.</t>
    </r>
  </si>
  <si>
    <t>KUKE (2016)</t>
  </si>
  <si>
    <t>KUKE (2016b)</t>
  </si>
  <si>
    <t xml:space="preserve">Polish Development Bank (Bank Gospodarstwa Krajowego, BGK) </t>
  </si>
  <si>
    <t>Capital Expenditures (CAPEX) by the electric utility ENEA</t>
  </si>
  <si>
    <t>Capital Expenditures (CAPEX) by the electric utility PGE</t>
  </si>
  <si>
    <t>Total Capital Expenditures (CAPEX) by the electric utility ENERGA</t>
  </si>
  <si>
    <t>wbj (2016)</t>
  </si>
  <si>
    <t>Initial investment by twelve state-controlled utilities for the recapitalisaion of Polish Mining Group (PGG)</t>
  </si>
  <si>
    <t>Annual total capital expenditure (CAPEX) by Grupa Lotos</t>
  </si>
  <si>
    <t>According to source, PLN 500 was earmarked in 2016, which was 20% more than that earmarked in 2015 (approx. PLN 416 million).</t>
  </si>
  <si>
    <t>Towarzystwo Obrotu Energia (TOE) (2016)</t>
  </si>
  <si>
    <r>
      <rPr>
        <b/>
        <sz val="10"/>
        <rFont val="Calibri"/>
        <family val="2"/>
        <scheme val="minor"/>
      </rPr>
      <t>Infrastructural Investment Equity Fund (FIZAN):</t>
    </r>
    <r>
      <rPr>
        <sz val="10"/>
        <rFont val="Calibri"/>
        <family val="2"/>
        <scheme val="minor"/>
      </rPr>
      <t xml:space="preserve"> Financing of investment projects notably in such sectors as power, hydrocarbons (oil and gas), transport and logistics. Financing of projects which involve both upgrade of assets and development of new assets, covering construction and
early operation risks.</t>
    </r>
  </si>
  <si>
    <r>
      <t xml:space="preserve">EU Emissions Trading System </t>
    </r>
    <r>
      <rPr>
        <sz val="10"/>
        <rFont val="Calibri"/>
        <family val="2"/>
      </rPr>
      <t>(ETS) allocation of free allowances to indsutry and power sectors</t>
    </r>
  </si>
  <si>
    <r>
      <rPr>
        <b/>
        <sz val="10"/>
        <rFont val="Calibri"/>
        <family val="2"/>
        <scheme val="minor"/>
      </rPr>
      <t xml:space="preserve">Tax exemption on natural gas for energy intensive industries: </t>
    </r>
    <r>
      <rPr>
        <sz val="10"/>
        <rFont val="Calibri"/>
        <family val="2"/>
        <scheme val="minor"/>
      </rPr>
      <t xml:space="preserve">Industries were exempted from paying excise taxes before November 2013. Since amendment of the law, industries in the I3 consumption band have been obliged to pay a tax of €1.1 /MWh. Energy intensive industries with energy intensity of more than 5% are exempted from the excise tax. 
</t>
    </r>
  </si>
  <si>
    <t>Cash flow from investment activities of GAZ System</t>
  </si>
  <si>
    <t>Instrument / activity</t>
  </si>
  <si>
    <r>
      <t xml:space="preserve">Fiscal support
</t>
    </r>
    <r>
      <rPr>
        <sz val="9"/>
        <color rgb="FF000000"/>
        <rFont val="Calibri"/>
        <family val="2"/>
      </rPr>
      <t>(Budget expenditure
+ tax exemptions
+ price or income support)</t>
    </r>
  </si>
  <si>
    <t>Polish Zloty millions, 2014-2016 average</t>
  </si>
  <si>
    <t>State-owned enterprise investment</t>
  </si>
  <si>
    <t>Summary</t>
  </si>
  <si>
    <t>Euro millions, 2014-2106 average</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</si>
  <si>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Phase-out 2020: monitoring Europe's fossil fuel subsidies</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</si>
  <si>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</si>
  <si>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Read the full report: http://odi.org/Europe-fossil-fuel-subsidies</t>
  </si>
  <si>
    <t>Subsidies for production  and consumption of coal, oil and gas: Poland</t>
  </si>
  <si>
    <r>
      <t xml:space="preserve">This data sheet provides background information for the country study: </t>
    </r>
    <r>
      <rPr>
        <i/>
        <sz val="11"/>
        <rFont val="Calibri"/>
        <family val="2"/>
        <scheme val="minor"/>
      </rPr>
      <t>Monitoring Europe's fossil fuel subsidies: Poland</t>
    </r>
  </si>
  <si>
    <t>Read the Poland country study: https://www.odi.org/publications/10929-monitoring-europes-fossil-fuel-subsidies-poland</t>
  </si>
  <si>
    <t>Summary table of subsidies by activity (Euro millions, average 2014 - 2016) - Poland</t>
  </si>
  <si>
    <t>SOE Investment in Euro millions (except where otherwise indicated) - Poland</t>
  </si>
  <si>
    <t>Fiscal support (including tax breaks, budgetary expenditure, and price and income support) - in national currency (Zloty) millions - Poland</t>
  </si>
  <si>
    <t>Public finance (domestic and within the EU) - in national currency (Zloty) millions - Poland</t>
  </si>
  <si>
    <t>Public finance (international) - in national currency (Zloty) millions - Poland</t>
  </si>
  <si>
    <t>All currency conversions were made using yearly average rates, available at: http://www.canadianforex.ca/forex-tools/historical-rate-tools/yearly-average-rates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</si>
</sst>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407]General"/>
  </numFmts>
  <fonts count="65"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b/>
      <sz val="11"/>
      <name val="Calibri"/>
      <family val="2"/>
      <scheme val="minor"/>
    </font>
    <font>
      <sz val="8"/>
      <name val="Verdana"/>
      <family val="2"/>
    </font>
    <font>
      <sz val="10"/>
      <name val="Calibri"/>
      <family val="2"/>
      <scheme val="minor"/>
    </font>
    <font>
      <b/>
      <sz val="10"/>
      <name val="Calibri"/>
      <family val="2"/>
      <scheme val="minor"/>
    </font>
    <font>
      <b/>
      <sz val="10"/>
      <color theme="1"/>
      <name val="Calibri"/>
      <family val="2"/>
      <scheme val="minor"/>
    </font>
    <font>
      <u/>
      <sz val="10"/>
      <color theme="10"/>
      <name val="Trebuchet MS"/>
      <family val="2"/>
    </font>
    <font>
      <i/>
      <sz val="10"/>
      <color theme="1"/>
      <name val="Trebuchet MS"/>
      <family val="2"/>
    </font>
    <font>
      <sz val="9"/>
      <color theme="1"/>
      <name val="Trebuchet MS"/>
      <family val="2"/>
    </font>
    <font>
      <b/>
      <i/>
      <sz val="9"/>
      <color rgb="FF000000"/>
      <name val="Calibri"/>
      <family val="2"/>
    </font>
    <font>
      <b/>
      <sz val="9"/>
      <color rgb="FF000000"/>
      <name val="Calibri"/>
      <family val="2"/>
    </font>
    <font>
      <sz val="9"/>
      <color rgb="FF000000"/>
      <name val="Calibri"/>
      <family val="2"/>
    </font>
    <font>
      <i/>
      <sz val="9"/>
      <color rgb="FF000000"/>
      <name val="Calibri"/>
      <family val="2"/>
    </font>
    <font>
      <i/>
      <sz val="9"/>
      <color theme="1"/>
      <name val="Trebuchet MS"/>
      <family val="2"/>
    </font>
    <font>
      <sz val="11"/>
      <name val="Calibri"/>
      <family val="2"/>
      <scheme val="minor"/>
    </font>
    <font>
      <sz val="10"/>
      <name val="Calibri"/>
      <family val="2"/>
    </font>
    <font>
      <b/>
      <sz val="10"/>
      <name val="Calibri"/>
      <family val="2"/>
    </font>
    <font>
      <u/>
      <sz val="11"/>
      <color theme="10"/>
      <name val="Calibri"/>
      <family val="2"/>
      <scheme val="minor"/>
    </font>
    <font>
      <b/>
      <u/>
      <sz val="11"/>
      <color theme="10"/>
      <name val="Calibri"/>
      <family val="2"/>
      <scheme val="minor"/>
    </font>
    <font>
      <b/>
      <sz val="12"/>
      <color theme="0"/>
      <name val="Calibri"/>
      <family val="2"/>
      <scheme val="minor"/>
    </font>
    <font>
      <i/>
      <sz val="11"/>
      <name val="Calibri"/>
      <family val="2"/>
      <scheme val="minor"/>
    </font>
    <font>
      <b/>
      <u/>
      <sz val="10"/>
      <color theme="1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E6C95"/>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right/>
      <top style="medium">
        <color indexed="64"/>
      </top>
      <bottom/>
      <diagonal/>
    </border>
    <border>
      <left style="thin">
        <color auto="1"/>
      </left>
      <right style="thin">
        <color auto="1"/>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rgb="FFA6A6A6"/>
      </top>
      <bottom style="thin">
        <color rgb="FFA6A6A6"/>
      </bottom>
      <diagonal/>
    </border>
    <border>
      <left style="thin">
        <color indexed="64"/>
      </left>
      <right/>
      <top style="thin">
        <color rgb="FFA6A6A6"/>
      </top>
      <bottom style="thin">
        <color rgb="FFA6A6A6"/>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medium">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indexed="64"/>
      </right>
      <top style="thin">
        <color rgb="FFA6A6A6"/>
      </top>
      <bottom style="thin">
        <color rgb="FFA6A6A6"/>
      </bottom>
      <diagonal/>
    </border>
    <border>
      <left/>
      <right/>
      <top style="thin">
        <color indexed="64"/>
      </top>
      <bottom/>
      <diagonal/>
    </border>
    <border>
      <left/>
      <right/>
      <top style="thin">
        <color theme="0" tint="-0.34998626667073579"/>
      </top>
      <bottom style="thin">
        <color theme="0" tint="-0.34998626667073579"/>
      </bottom>
      <diagonal/>
    </border>
    <border>
      <left/>
      <right/>
      <top/>
      <bottom style="thin">
        <color indexed="64"/>
      </bottom>
      <diagonal/>
    </border>
    <border>
      <left/>
      <right/>
      <top/>
      <bottom style="medium">
        <color indexed="64"/>
      </bottom>
      <diagonal/>
    </border>
    <border>
      <left style="medium">
        <color indexed="64"/>
      </left>
      <right style="medium">
        <color indexed="64"/>
      </right>
      <top style="thin">
        <color theme="0" tint="-0.34998626667073579"/>
      </top>
      <bottom style="thin">
        <color theme="0" tint="-0.34998626667073579"/>
      </bottom>
      <diagonal/>
    </border>
  </borders>
  <cellStyleXfs count="179">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5" fillId="0" borderId="10" applyNumberFormat="0" applyAlignment="0"/>
    <xf numFmtId="0" fontId="49" fillId="0" borderId="0" applyNumberFormat="0" applyFill="0" applyBorder="0" applyAlignment="0" applyProtection="0"/>
    <xf numFmtId="0" fontId="2"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60" fillId="0" borderId="0" applyNumberFormat="0" applyFill="0" applyBorder="0" applyAlignment="0" applyProtection="0"/>
    <xf numFmtId="0" fontId="2" fillId="0" borderId="0"/>
    <xf numFmtId="0" fontId="3" fillId="0" borderId="0"/>
    <xf numFmtId="0" fontId="49" fillId="0" borderId="0" applyNumberFormat="0" applyFill="0" applyBorder="0" applyAlignment="0" applyProtection="0"/>
    <xf numFmtId="43" fontId="38" fillId="0" borderId="0" applyFont="0" applyFill="0" applyBorder="0" applyAlignment="0" applyProtection="0"/>
    <xf numFmtId="0" fontId="37" fillId="0" borderId="0"/>
    <xf numFmtId="43" fontId="38" fillId="0" borderId="0" applyFont="0" applyFill="0" applyBorder="0" applyAlignment="0" applyProtection="0"/>
    <xf numFmtId="9" fontId="3" fillId="0" borderId="0" applyFont="0" applyFill="0" applyBorder="0" applyAlignment="0" applyProtection="0"/>
  </cellStyleXfs>
  <cellXfs count="89">
    <xf numFmtId="0" fontId="0" fillId="0" borderId="0" xfId="0"/>
    <xf numFmtId="0" fontId="47" fillId="0" borderId="22" xfId="0" applyFont="1" applyFill="1" applyBorder="1" applyAlignment="1">
      <alignment horizontal="left" vertical="center" wrapText="1"/>
    </xf>
    <xf numFmtId="0" fontId="43" fillId="0" borderId="22" xfId="0" applyFont="1" applyBorder="1" applyAlignment="1">
      <alignment horizontal="center" vertical="center" wrapText="1"/>
    </xf>
    <xf numFmtId="0" fontId="46" fillId="0" borderId="22" xfId="0" applyFont="1" applyFill="1" applyBorder="1" applyAlignment="1">
      <alignment horizontal="center" vertical="center" wrapText="1"/>
    </xf>
    <xf numFmtId="0" fontId="43" fillId="0" borderId="22" xfId="0" applyFont="1" applyFill="1" applyBorder="1" applyAlignment="1">
      <alignment horizontal="center" vertical="center" wrapText="1"/>
    </xf>
    <xf numFmtId="4" fontId="46" fillId="0" borderId="22" xfId="0" applyNumberFormat="1" applyFont="1" applyFill="1" applyBorder="1" applyAlignment="1">
      <alignment horizontal="center" vertical="center" wrapText="1"/>
    </xf>
    <xf numFmtId="4" fontId="43" fillId="0" borderId="22" xfId="0" applyNumberFormat="1" applyFont="1" applyBorder="1" applyAlignment="1">
      <alignment horizontal="center" vertical="center" wrapText="1"/>
    </xf>
    <xf numFmtId="0" fontId="49" fillId="0" borderId="22" xfId="121" applyBorder="1" applyAlignment="1">
      <alignment horizontal="center" vertical="center" wrapText="1"/>
    </xf>
    <xf numFmtId="0" fontId="46" fillId="0" borderId="22" xfId="0" applyFont="1" applyFill="1" applyBorder="1" applyAlignment="1">
      <alignment horizontal="left" vertical="center" wrapText="1"/>
    </xf>
    <xf numFmtId="4" fontId="43" fillId="0" borderId="22" xfId="0" applyNumberFormat="1" applyFont="1" applyFill="1" applyBorder="1" applyAlignment="1">
      <alignment horizontal="center" vertical="center" wrapText="1"/>
    </xf>
    <xf numFmtId="0" fontId="49" fillId="0" borderId="22" xfId="121" applyFill="1" applyBorder="1" applyAlignment="1">
      <alignment horizontal="center" vertical="center" wrapText="1"/>
    </xf>
    <xf numFmtId="0" fontId="46" fillId="0" borderId="22" xfId="0" applyFont="1" applyBorder="1" applyAlignment="1">
      <alignment horizontal="left" vertical="center" wrapText="1"/>
    </xf>
    <xf numFmtId="0" fontId="46" fillId="0" borderId="22" xfId="0" applyFont="1" applyBorder="1" applyAlignment="1">
      <alignment horizontal="center" vertical="center" wrapText="1"/>
    </xf>
    <xf numFmtId="0" fontId="46" fillId="0" borderId="22" xfId="120" applyFont="1" applyBorder="1" applyAlignment="1">
      <alignment horizontal="center" vertical="center" wrapText="1"/>
    </xf>
    <xf numFmtId="0" fontId="43" fillId="0" borderId="22" xfId="0" applyFont="1" applyFill="1" applyBorder="1" applyAlignment="1">
      <alignment horizontal="center" vertical="center"/>
    </xf>
    <xf numFmtId="0" fontId="48" fillId="0" borderId="22"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quotePrefix="1" applyFont="1" applyBorder="1" applyAlignment="1">
      <alignment horizontal="center" vertical="center" wrapText="1"/>
    </xf>
    <xf numFmtId="0" fontId="43" fillId="0" borderId="22" xfId="100" applyFont="1" applyFill="1" applyBorder="1" applyAlignment="1">
      <alignment horizontal="center" vertical="center" wrapText="1"/>
    </xf>
    <xf numFmtId="0" fontId="51" fillId="0" borderId="0" xfId="0" applyFont="1" applyFill="1" applyBorder="1"/>
    <xf numFmtId="0" fontId="51" fillId="0" borderId="0" xfId="0" applyFont="1"/>
    <xf numFmtId="0" fontId="53" fillId="0" borderId="33" xfId="0" applyFont="1" applyFill="1" applyBorder="1"/>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30" xfId="0" applyFont="1" applyFill="1" applyBorder="1" applyAlignment="1">
      <alignment wrapText="1"/>
    </xf>
    <xf numFmtId="3" fontId="51" fillId="0" borderId="31" xfId="0" applyNumberFormat="1" applyFont="1" applyFill="1" applyBorder="1" applyAlignment="1">
      <alignment horizontal="center" vertical="center"/>
    </xf>
    <xf numFmtId="3" fontId="51" fillId="0" borderId="27" xfId="0" applyNumberFormat="1" applyFont="1" applyFill="1" applyBorder="1" applyAlignment="1">
      <alignment horizontal="center" vertical="center"/>
    </xf>
    <xf numFmtId="3" fontId="54" fillId="0" borderId="27" xfId="0" applyNumberFormat="1" applyFont="1" applyFill="1" applyBorder="1" applyAlignment="1">
      <alignment horizontal="center" vertical="center" wrapText="1"/>
    </xf>
    <xf numFmtId="3" fontId="54" fillId="0" borderId="12" xfId="0" applyNumberFormat="1" applyFont="1" applyFill="1" applyBorder="1" applyAlignment="1">
      <alignment horizontal="center" vertical="center" wrapText="1"/>
    </xf>
    <xf numFmtId="3" fontId="55" fillId="0" borderId="11" xfId="0" applyNumberFormat="1" applyFont="1" applyFill="1" applyBorder="1" applyAlignment="1">
      <alignment horizontal="center" vertical="center" wrapText="1"/>
    </xf>
    <xf numFmtId="0" fontId="53" fillId="0" borderId="13" xfId="0" applyFont="1" applyFill="1" applyBorder="1"/>
    <xf numFmtId="3" fontId="51" fillId="0" borderId="14" xfId="0" applyNumberFormat="1" applyFont="1" applyFill="1" applyBorder="1" applyAlignment="1">
      <alignment horizontal="center" vertical="center"/>
    </xf>
    <xf numFmtId="3" fontId="51" fillId="0" borderId="23" xfId="0" applyNumberFormat="1" applyFont="1" applyFill="1" applyBorder="1" applyAlignment="1">
      <alignment horizontal="center" vertical="center"/>
    </xf>
    <xf numFmtId="3" fontId="51" fillId="0" borderId="39" xfId="0" applyNumberFormat="1" applyFont="1" applyFill="1" applyBorder="1" applyAlignment="1">
      <alignment horizontal="center" vertical="center"/>
    </xf>
    <xf numFmtId="0" fontId="55" fillId="0" borderId="15" xfId="0" applyFont="1" applyFill="1" applyBorder="1" applyAlignment="1">
      <alignment horizontal="right"/>
    </xf>
    <xf numFmtId="3" fontId="55" fillId="0" borderId="16" xfId="0" applyNumberFormat="1" applyFont="1" applyFill="1" applyBorder="1" applyAlignment="1">
      <alignment horizontal="right"/>
    </xf>
    <xf numFmtId="3" fontId="55" fillId="0" borderId="38" xfId="0" applyNumberFormat="1" applyFont="1" applyFill="1" applyBorder="1" applyAlignment="1">
      <alignment horizontal="right"/>
    </xf>
    <xf numFmtId="3" fontId="55" fillId="0" borderId="40" xfId="0" applyNumberFormat="1" applyFont="1" applyFill="1" applyBorder="1" applyAlignment="1">
      <alignment horizontal="right"/>
    </xf>
    <xf numFmtId="0" fontId="55" fillId="0" borderId="17" xfId="0" applyFont="1" applyFill="1" applyBorder="1" applyAlignment="1">
      <alignment horizontal="right"/>
    </xf>
    <xf numFmtId="3" fontId="55" fillId="0" borderId="18" xfId="0" applyNumberFormat="1" applyFont="1" applyFill="1" applyBorder="1" applyAlignment="1">
      <alignment horizontal="right"/>
    </xf>
    <xf numFmtId="3" fontId="55" fillId="0" borderId="37" xfId="0" applyNumberFormat="1" applyFont="1" applyFill="1" applyBorder="1" applyAlignment="1">
      <alignment horizontal="right"/>
    </xf>
    <xf numFmtId="3" fontId="55" fillId="0" borderId="41" xfId="0" applyNumberFormat="1" applyFont="1" applyFill="1" applyBorder="1" applyAlignment="1">
      <alignment horizontal="right"/>
    </xf>
    <xf numFmtId="3" fontId="51" fillId="0" borderId="20" xfId="0" applyNumberFormat="1" applyFont="1" applyFill="1" applyBorder="1" applyAlignment="1">
      <alignment horizontal="center" vertical="center"/>
    </xf>
    <xf numFmtId="3" fontId="51" fillId="0" borderId="21" xfId="0" applyNumberFormat="1" applyFont="1" applyFill="1" applyBorder="1" applyAlignment="1">
      <alignment horizontal="center"/>
    </xf>
    <xf numFmtId="3" fontId="51" fillId="0" borderId="42" xfId="0" applyNumberFormat="1" applyFont="1" applyFill="1" applyBorder="1" applyAlignment="1">
      <alignment horizontal="center" vertical="center"/>
    </xf>
    <xf numFmtId="0" fontId="48" fillId="0" borderId="23" xfId="0" applyFont="1" applyBorder="1" applyAlignment="1">
      <alignment horizontal="left" vertical="center" wrapText="1"/>
    </xf>
    <xf numFmtId="0" fontId="43" fillId="0" borderId="23" xfId="0" applyFont="1" applyBorder="1" applyAlignment="1">
      <alignment horizontal="center" vertical="center" wrapText="1"/>
    </xf>
    <xf numFmtId="4" fontId="43" fillId="0" borderId="23" xfId="0" applyNumberFormat="1" applyFont="1" applyBorder="1" applyAlignment="1">
      <alignment horizontal="center" vertical="center" wrapText="1"/>
    </xf>
    <xf numFmtId="0" fontId="49" fillId="0" borderId="23" xfId="121" applyBorder="1" applyAlignment="1">
      <alignment horizontal="center" vertical="center" wrapText="1"/>
    </xf>
    <xf numFmtId="0" fontId="46" fillId="0" borderId="22" xfId="0" applyFont="1" applyFill="1" applyBorder="1" applyAlignment="1">
      <alignment horizontal="left" wrapText="1"/>
    </xf>
    <xf numFmtId="0" fontId="48" fillId="0" borderId="22" xfId="0" applyFont="1" applyBorder="1" applyAlignment="1">
      <alignment horizontal="center" vertical="center" wrapText="1"/>
    </xf>
    <xf numFmtId="4" fontId="48" fillId="0" borderId="22" xfId="0" applyNumberFormat="1" applyFont="1" applyBorder="1" applyAlignment="1">
      <alignment horizontal="center" vertical="center" wrapText="1"/>
    </xf>
    <xf numFmtId="46" fontId="43" fillId="0" borderId="22" xfId="0" applyNumberFormat="1" applyFont="1" applyBorder="1" applyAlignment="1">
      <alignment horizontal="left" vertical="center" wrapText="1"/>
    </xf>
    <xf numFmtId="0" fontId="43" fillId="0" borderId="22" xfId="0" applyFont="1" applyBorder="1" applyAlignment="1">
      <alignment horizontal="left" wrapText="1"/>
    </xf>
    <xf numFmtId="0" fontId="48" fillId="0" borderId="22"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22" xfId="0" quotePrefix="1" applyFont="1" applyFill="1" applyBorder="1" applyAlignment="1">
      <alignment horizontal="center" vertical="center" wrapText="1"/>
    </xf>
    <xf numFmtId="0" fontId="0" fillId="0" borderId="0" xfId="0" applyFill="1"/>
    <xf numFmtId="0" fontId="59" fillId="0" borderId="22" xfId="0" applyFont="1" applyBorder="1" applyAlignment="1">
      <alignment vertical="center" wrapText="1"/>
    </xf>
    <xf numFmtId="0" fontId="43" fillId="0" borderId="22" xfId="0" applyFont="1" applyFill="1" applyBorder="1" applyAlignment="1">
      <alignment wrapText="1"/>
    </xf>
    <xf numFmtId="0" fontId="50" fillId="0" borderId="0" xfId="0" applyFont="1"/>
    <xf numFmtId="3" fontId="51" fillId="0" borderId="32" xfId="0" applyNumberFormat="1" applyFont="1" applyFill="1" applyBorder="1" applyAlignment="1">
      <alignment horizontal="center" vertical="center"/>
    </xf>
    <xf numFmtId="3" fontId="51" fillId="0" borderId="36" xfId="0" applyNumberFormat="1" applyFont="1" applyFill="1" applyBorder="1" applyAlignment="1">
      <alignment horizontal="center" vertical="center"/>
    </xf>
    <xf numFmtId="3" fontId="56" fillId="0" borderId="43" xfId="0" applyNumberFormat="1" applyFont="1" applyFill="1" applyBorder="1" applyAlignment="1">
      <alignment horizontal="right"/>
    </xf>
    <xf numFmtId="3" fontId="56" fillId="0" borderId="32" xfId="0" applyNumberFormat="1" applyFont="1" applyFill="1" applyBorder="1" applyAlignment="1">
      <alignment horizontal="right"/>
    </xf>
    <xf numFmtId="3" fontId="51" fillId="0" borderId="29" xfId="0" applyNumberFormat="1" applyFont="1" applyFill="1" applyBorder="1" applyAlignment="1">
      <alignment horizontal="center" vertical="center"/>
    </xf>
    <xf numFmtId="0" fontId="53" fillId="0" borderId="19" xfId="0" applyFont="1" applyFill="1" applyBorder="1" applyAlignment="1">
      <alignment wrapText="1"/>
    </xf>
    <xf numFmtId="0" fontId="64" fillId="0" borderId="0" xfId="121" applyFont="1" applyFill="1" applyBorder="1" applyAlignment="1">
      <alignment wrapText="1"/>
    </xf>
    <xf numFmtId="0" fontId="2" fillId="0" borderId="0" xfId="122" applyAlignment="1">
      <alignment wrapText="1"/>
    </xf>
    <xf numFmtId="0" fontId="2" fillId="0" borderId="0" xfId="122" applyBorder="1" applyAlignment="1">
      <alignment wrapText="1"/>
    </xf>
    <xf numFmtId="0" fontId="35" fillId="0" borderId="0" xfId="122" applyFont="1" applyFill="1" applyBorder="1" applyAlignment="1">
      <alignment wrapText="1"/>
    </xf>
    <xf numFmtId="0" fontId="61" fillId="0" borderId="0" xfId="171" applyFont="1" applyFill="1" applyBorder="1" applyAlignment="1">
      <alignment wrapText="1"/>
    </xf>
    <xf numFmtId="0" fontId="61" fillId="0" borderId="0" xfId="171" applyFont="1" applyBorder="1" applyAlignment="1">
      <alignment wrapText="1"/>
    </xf>
    <xf numFmtId="0" fontId="57" fillId="0" borderId="0" xfId="122" applyFont="1" applyFill="1" applyBorder="1" applyAlignment="1">
      <alignment wrapText="1"/>
    </xf>
    <xf numFmtId="0" fontId="2" fillId="0" borderId="0" xfId="122" applyBorder="1" applyAlignment="1">
      <alignment vertical="top" wrapText="1"/>
    </xf>
    <xf numFmtId="0" fontId="62" fillId="0" borderId="0" xfId="85" applyFont="1" applyFill="1" applyBorder="1" applyAlignment="1">
      <alignment horizontal="left" vertical="center" wrapText="1"/>
    </xf>
    <xf numFmtId="0" fontId="62" fillId="0" borderId="0" xfId="85" applyFont="1" applyFill="1" applyAlignment="1">
      <alignment horizontal="left" vertical="center"/>
    </xf>
    <xf numFmtId="0" fontId="62" fillId="33" borderId="0" xfId="122" applyFont="1" applyFill="1" applyAlignment="1">
      <alignment horizontal="left" vertical="center"/>
    </xf>
    <xf numFmtId="0" fontId="52" fillId="0" borderId="24" xfId="0" applyFont="1" applyFill="1" applyBorder="1" applyAlignment="1">
      <alignment horizontal="center"/>
    </xf>
    <xf numFmtId="0" fontId="52" fillId="0" borderId="25" xfId="0" applyFont="1" applyFill="1" applyBorder="1" applyAlignment="1">
      <alignment horizontal="center"/>
    </xf>
    <xf numFmtId="0" fontId="52" fillId="0" borderId="26" xfId="0" applyFont="1" applyFill="1" applyBorder="1" applyAlignment="1">
      <alignment horizontal="center"/>
    </xf>
    <xf numFmtId="0" fontId="52" fillId="0" borderId="24" xfId="0" applyFont="1" applyFill="1" applyBorder="1" applyAlignment="1">
      <alignment horizontal="center" wrapText="1"/>
    </xf>
    <xf numFmtId="0" fontId="52" fillId="0" borderId="25" xfId="0" applyFont="1" applyFill="1" applyBorder="1" applyAlignment="1">
      <alignment horizontal="center" wrapText="1"/>
    </xf>
    <xf numFmtId="0" fontId="52" fillId="0" borderId="26" xfId="0" applyFont="1" applyFill="1" applyBorder="1" applyAlignment="1">
      <alignment horizontal="center" wrapText="1"/>
    </xf>
    <xf numFmtId="0" fontId="62" fillId="33" borderId="0" xfId="85" applyFont="1" applyFill="1" applyBorder="1" applyAlignment="1">
      <alignment horizontal="left" vertical="center"/>
    </xf>
    <xf numFmtId="0" fontId="62" fillId="33" borderId="0" xfId="85" applyFont="1" applyFill="1" applyAlignment="1">
      <alignment horizontal="left" vertical="center"/>
    </xf>
    <xf numFmtId="0" fontId="62" fillId="33" borderId="0" xfId="85" applyFont="1" applyFill="1" applyBorder="1" applyAlignment="1">
      <alignment horizontal="left" vertical="center" wrapText="1"/>
    </xf>
    <xf numFmtId="0" fontId="43" fillId="0" borderId="0" xfId="0" applyFont="1" applyFill="1" applyBorder="1" applyAlignment="1">
      <alignment horizontal="center" vertical="center" wrapText="1"/>
    </xf>
  </cellXfs>
  <cellStyles count="179">
    <cellStyle name="20 % - Akzent1 2" xfId="61"/>
    <cellStyle name="20 % - Akzent1 2 2" xfId="108"/>
    <cellStyle name="20 % - Akzent2 2" xfId="65"/>
    <cellStyle name="20 % - Akzent2 2 2" xfId="110"/>
    <cellStyle name="20 % - Akzent3 2" xfId="69"/>
    <cellStyle name="20 % - Akzent3 2 2" xfId="112"/>
    <cellStyle name="20 % - Akzent4 2" xfId="73"/>
    <cellStyle name="20 % - Akzent4 2 2" xfId="114"/>
    <cellStyle name="20 % - Akzent5 2" xfId="77"/>
    <cellStyle name="20 % - Akzent5 2 2" xfId="116"/>
    <cellStyle name="20 % - Akzent6 2" xfId="81"/>
    <cellStyle name="20 % - Akzent6 2 2" xfId="118"/>
    <cellStyle name="20% - Accent1" xfId="19" builtinId="30" customBuiltin="1"/>
    <cellStyle name="20% - Accent1 2" xfId="140"/>
    <cellStyle name="20% - Accent2" xfId="23" builtinId="34" customBuiltin="1"/>
    <cellStyle name="20% - Accent2 2" xfId="144"/>
    <cellStyle name="20% - Accent3" xfId="27" builtinId="38" customBuiltin="1"/>
    <cellStyle name="20% - Accent3 2" xfId="148"/>
    <cellStyle name="20% - Accent4" xfId="31" builtinId="42" customBuiltin="1"/>
    <cellStyle name="20% - Accent4 2" xfId="152"/>
    <cellStyle name="20% - Accent5" xfId="35" builtinId="46" customBuiltin="1"/>
    <cellStyle name="20% - Accent5 2" xfId="156"/>
    <cellStyle name="20% - Accent6" xfId="39" builtinId="50" customBuiltin="1"/>
    <cellStyle name="20% - Accent6 2" xfId="160"/>
    <cellStyle name="40 % - Akzent1 2" xfId="62"/>
    <cellStyle name="40 % - Akzent1 2 2" xfId="109"/>
    <cellStyle name="40 % - Akzent2 2" xfId="66"/>
    <cellStyle name="40 % - Akzent2 2 2" xfId="111"/>
    <cellStyle name="40 % - Akzent3 2" xfId="70"/>
    <cellStyle name="40 % - Akzent3 2 2" xfId="113"/>
    <cellStyle name="40 % - Akzent4 2" xfId="74"/>
    <cellStyle name="40 % - Akzent4 2 2" xfId="115"/>
    <cellStyle name="40 % - Akzent5 2" xfId="78"/>
    <cellStyle name="40 % - Akzent5 2 2" xfId="117"/>
    <cellStyle name="40 % - Akzent6 2" xfId="82"/>
    <cellStyle name="40 % - Akzent6 2 2" xfId="119"/>
    <cellStyle name="40% - Accent1" xfId="20" builtinId="31" customBuiltin="1"/>
    <cellStyle name="40% - Accent1 2" xfId="141"/>
    <cellStyle name="40% - Accent2" xfId="24" builtinId="35" customBuiltin="1"/>
    <cellStyle name="40% - Accent2 2" xfId="145"/>
    <cellStyle name="40% - Accent3" xfId="28" builtinId="39" customBuiltin="1"/>
    <cellStyle name="40% - Accent3 2" xfId="149"/>
    <cellStyle name="40% - Accent4" xfId="32" builtinId="43" customBuiltin="1"/>
    <cellStyle name="40% - Accent4 2" xfId="153"/>
    <cellStyle name="40% - Accent5" xfId="36" builtinId="47" customBuiltin="1"/>
    <cellStyle name="40% - Accent5 2" xfId="157"/>
    <cellStyle name="40% - Accent6" xfId="40" builtinId="51" customBuiltin="1"/>
    <cellStyle name="40% - Accent6 2" xfId="161"/>
    <cellStyle name="60 % - Akzent1 2" xfId="63"/>
    <cellStyle name="60 % - Akzent2 2" xfId="67"/>
    <cellStyle name="60 % - Akzent3 2" xfId="71"/>
    <cellStyle name="60 % - Akzent4 2" xfId="75"/>
    <cellStyle name="60 % - Akzent5 2" xfId="79"/>
    <cellStyle name="60 % - Akzent6 2" xfId="83"/>
    <cellStyle name="60% - Accent1" xfId="21" builtinId="32" customBuiltin="1"/>
    <cellStyle name="60% - Accent1 2" xfId="91"/>
    <cellStyle name="60% - Accent1 2 2" xfId="165"/>
    <cellStyle name="60% - Accent1 3" xfId="142"/>
    <cellStyle name="60% - Accent2" xfId="25" builtinId="36" customBuiltin="1"/>
    <cellStyle name="60% - Accent2 2" xfId="92"/>
    <cellStyle name="60% - Accent2 2 2" xfId="166"/>
    <cellStyle name="60% - Accent2 3" xfId="146"/>
    <cellStyle name="60% - Accent3" xfId="29" builtinId="40" customBuiltin="1"/>
    <cellStyle name="60% - Accent3 2" xfId="93"/>
    <cellStyle name="60% - Accent3 2 2" xfId="167"/>
    <cellStyle name="60% - Accent3 3" xfId="150"/>
    <cellStyle name="60% - Accent4" xfId="33" builtinId="44" customBuiltin="1"/>
    <cellStyle name="60% - Accent4 2" xfId="94"/>
    <cellStyle name="60% - Accent4 2 2" xfId="168"/>
    <cellStyle name="60% - Accent4 3" xfId="154"/>
    <cellStyle name="60% - Accent5" xfId="37" builtinId="48" customBuiltin="1"/>
    <cellStyle name="60% - Accent5 2" xfId="95"/>
    <cellStyle name="60% - Accent5 2 2" xfId="169"/>
    <cellStyle name="60% - Accent5 3" xfId="158"/>
    <cellStyle name="60% - Accent6" xfId="41" builtinId="52" customBuiltin="1"/>
    <cellStyle name="60% - Accent6 2" xfId="96"/>
    <cellStyle name="60% - Accent6 2 2" xfId="170"/>
    <cellStyle name="60% - Accent6 3" xfId="162"/>
    <cellStyle name="Accent1" xfId="18" builtinId="29" customBuiltin="1"/>
    <cellStyle name="Accent1 2" xfId="139"/>
    <cellStyle name="Accent2" xfId="22" builtinId="33" customBuiltin="1"/>
    <cellStyle name="Accent2 2" xfId="143"/>
    <cellStyle name="Accent3" xfId="26" builtinId="37" customBuiltin="1"/>
    <cellStyle name="Accent3 2" xfId="147"/>
    <cellStyle name="Accent4" xfId="30" builtinId="41" customBuiltin="1"/>
    <cellStyle name="Accent4 2" xfId="151"/>
    <cellStyle name="Accent5" xfId="34" builtinId="45" customBuiltin="1"/>
    <cellStyle name="Accent5 2" xfId="155"/>
    <cellStyle name="Accent6" xfId="38" builtinId="49" customBuiltin="1"/>
    <cellStyle name="Accent6 2" xfId="159"/>
    <cellStyle name="Akzent1 2" xfId="60"/>
    <cellStyle name="Akzent2 2" xfId="64"/>
    <cellStyle name="Akzent3 2" xfId="68"/>
    <cellStyle name="Akzent4 2" xfId="72"/>
    <cellStyle name="Akzent5 2" xfId="76"/>
    <cellStyle name="Akzent6 2" xfId="80"/>
    <cellStyle name="Ausgabe 2" xfId="52"/>
    <cellStyle name="Bad" xfId="7" builtinId="27" customBuiltin="1"/>
    <cellStyle name="Bad 2" xfId="129"/>
    <cellStyle name="Berechnung 2" xfId="53"/>
    <cellStyle name="Calculation" xfId="11" builtinId="22" customBuiltin="1"/>
    <cellStyle name="Calculation 2" xfId="132"/>
    <cellStyle name="Check Cell" xfId="13" builtinId="23" customBuiltin="1"/>
    <cellStyle name="Check Cell 2" xfId="134"/>
    <cellStyle name="Comma 2" xfId="86"/>
    <cellStyle name="Comma 2 2" xfId="175"/>
    <cellStyle name="Comma 2 3" xfId="163"/>
    <cellStyle name="Comma 3" xfId="88"/>
    <cellStyle name="Comma 3 2" xfId="177"/>
    <cellStyle name="Comma 3 3" xfId="164"/>
    <cellStyle name="E_TableCell1" xfId="120"/>
    <cellStyle name="Eingabe 2" xfId="51"/>
    <cellStyle name="Ergebnis 2" xfId="59"/>
    <cellStyle name="Erklärender Text 2" xfId="58"/>
    <cellStyle name="Excel Built-in Normal" xfId="99"/>
    <cellStyle name="Explanatory Text" xfId="16" builtinId="53" customBuiltin="1"/>
    <cellStyle name="Explanatory Text 2" xfId="137"/>
    <cellStyle name="Good" xfId="6" builtinId="26" customBuiltin="1"/>
    <cellStyle name="Good 2" xfId="128"/>
    <cellStyle name="Gut 2" xfId="48"/>
    <cellStyle name="Heading 1" xfId="2" builtinId="16" customBuiltin="1"/>
    <cellStyle name="Heading 1 2" xfId="124"/>
    <cellStyle name="Heading 2" xfId="3" builtinId="17" customBuiltin="1"/>
    <cellStyle name="Heading 2 2" xfId="125"/>
    <cellStyle name="Heading 3" xfId="4" builtinId="18" customBuiltin="1"/>
    <cellStyle name="Heading 3 2" xfId="126"/>
    <cellStyle name="Heading 4" xfId="5" builtinId="19" customBuiltin="1"/>
    <cellStyle name="Heading 4 2" xfId="127"/>
    <cellStyle name="Hyperlink" xfId="121" builtinId="8"/>
    <cellStyle name="Hyperlink 2" xfId="89"/>
    <cellStyle name="Hyperlink 3" xfId="98"/>
    <cellStyle name="Hyperlink 4" xfId="174"/>
    <cellStyle name="Hyperlink 5" xfId="171"/>
    <cellStyle name="Input" xfId="9" builtinId="20" customBuiltin="1"/>
    <cellStyle name="Input 2" xfId="130"/>
    <cellStyle name="Linked Cell" xfId="12" builtinId="24" customBuiltin="1"/>
    <cellStyle name="Linked Cell 2" xfId="133"/>
    <cellStyle name="Neutral" xfId="8" builtinId="28" customBuiltin="1"/>
    <cellStyle name="Neutral 2" xfId="90"/>
    <cellStyle name="Neutral 3" xfId="50"/>
    <cellStyle name="Normal" xfId="0" builtinId="0"/>
    <cellStyle name="Normal 2" xfId="84"/>
    <cellStyle name="Normal 3" xfId="85"/>
    <cellStyle name="Normal 4" xfId="87"/>
    <cellStyle name="Normal 4 2" xfId="176"/>
    <cellStyle name="Normal 5" xfId="173"/>
    <cellStyle name="Normal 6" xfId="122"/>
    <cellStyle name="Note" xfId="15" builtinId="10" customBuiltin="1"/>
    <cellStyle name="Note 2" xfId="136"/>
    <cellStyle name="Notiz 2" xfId="57"/>
    <cellStyle name="Notiz 2 2" xfId="107"/>
    <cellStyle name="Output" xfId="10" builtinId="21" customBuiltin="1"/>
    <cellStyle name="Output 2" xfId="131"/>
    <cellStyle name="Percent 2" xfId="178"/>
    <cellStyle name="Schlecht 2" xfId="49"/>
    <cellStyle name="Standard 2" xfId="100"/>
    <cellStyle name="Standard 2 2" xfId="172"/>
    <cellStyle name="Standard 3" xfId="42"/>
    <cellStyle name="Standard 4" xfId="103"/>
    <cellStyle name="Title" xfId="1" builtinId="15" customBuiltin="1"/>
    <cellStyle name="Title 2" xfId="123"/>
    <cellStyle name="Total" xfId="17" builtinId="25" customBuiltin="1"/>
    <cellStyle name="Total 2" xfId="138"/>
    <cellStyle name="Überschrift 1 2" xfId="44"/>
    <cellStyle name="Überschrift 10" xfId="106"/>
    <cellStyle name="Überschrift 2 2" xfId="45"/>
    <cellStyle name="Überschrift 3 2" xfId="46"/>
    <cellStyle name="Überschrift 4 2" xfId="47"/>
    <cellStyle name="Überschrift 5" xfId="43"/>
    <cellStyle name="Überschrift 6" xfId="101"/>
    <cellStyle name="Überschrift 7" xfId="102"/>
    <cellStyle name="Überschrift 8" xfId="105"/>
    <cellStyle name="Überschrift 9" xfId="104"/>
    <cellStyle name="Verknüpfte Zelle 2" xfId="54"/>
    <cellStyle name="Währung 2" xfId="97"/>
    <cellStyle name="Warnender Text 2" xfId="56"/>
    <cellStyle name="Warning Text" xfId="14" builtinId="11" customBuiltin="1"/>
    <cellStyle name="Warning Text 2" xfId="135"/>
    <cellStyle name="Zelle überprüfen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29-monitoring-europes-fossil-fuel-subsidies-poland"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ilibrary.org/deliverdotstat?cid=guest&amp;institution_name=&amp;baseurl=http%3a%2f%2fstats.oecd.org%2fwbos%2fbrandedview.aspx&amp;doi=data-00488-en&amp;return_url=http%3a%2f%2fwww.oecd-ilibrary.org%2fenergy%2fdata%2fiea-energy-technology-r-d-statistics_en" TargetMode="External"/><Relationship Id="rId13" Type="http://schemas.openxmlformats.org/officeDocument/2006/relationships/hyperlink" Target="http://www.oecd.org/site/tadffss/data" TargetMode="External"/><Relationship Id="rId3" Type="http://schemas.openxmlformats.org/officeDocument/2006/relationships/hyperlink" Target="https://ec.europa.eu/energy/sites/ener/files/documents/annex1_ecofys2016.pdf" TargetMode="External"/><Relationship Id="rId7" Type="http://schemas.openxmlformats.org/officeDocument/2006/relationships/hyperlink" Target="https://bankwatch.org/sites/default/files/briefing-ETS-fossilfuelsubsidies-27Apr2016.pdf" TargetMode="External"/><Relationship Id="rId12" Type="http://schemas.openxmlformats.org/officeDocument/2006/relationships/hyperlink" Target="http://www.oecd.org/site/tadffss/data" TargetMode="External"/><Relationship Id="rId17" Type="http://schemas.openxmlformats.org/officeDocument/2006/relationships/hyperlink" Target="http://www.oecd.org/site/tadffss/data" TargetMode="External"/><Relationship Id="rId2" Type="http://schemas.openxmlformats.org/officeDocument/2006/relationships/hyperlink" Target="http://www.oecd-ilibrary.org/deliverdotstat?cid=guest&amp;institution_name=&amp;baseurl=http%3a%2f%2fstats.oecd.org%2fwbos%2fbrandedview.aspx&amp;doi=data-00488-en&amp;return_url=http%3a%2f%2fwww.oecd-ilibrary.org%2fenergy%2fdata%2fiea-energy-technology-r-d-statistics_en" TargetMode="External"/><Relationship Id="rId16" Type="http://schemas.openxmlformats.org/officeDocument/2006/relationships/hyperlink" Target="http://www.oecd.org/site/tadffss/data" TargetMode="External"/><Relationship Id="rId1" Type="http://schemas.openxmlformats.org/officeDocument/2006/relationships/hyperlink" Target="https://www.bundesfinanzministerium.de/Content/DE/Standardartikel/Themen/Oeffentliche_Finanzen/Subventionspolitik/2015-08-26-subventionsbericht-25-vollstaendig.pdf?__blob=publicationFile&amp;v=2" TargetMode="External"/><Relationship Id="rId6" Type="http://schemas.openxmlformats.org/officeDocument/2006/relationships/hyperlink" Target="http://www.toe.pl/pl/wybrane-dokumenty/rok-2016?download=1462:electricity-and-gas-market-in-poland-status-on-31-march-2016-toe-report" TargetMode="External"/><Relationship Id="rId11" Type="http://schemas.openxmlformats.org/officeDocument/2006/relationships/hyperlink" Target="https://ec.europa.eu/energy/sites/ener/files/documents/annex1_ecofys2016.pdf" TargetMode="External"/><Relationship Id="rId5" Type="http://schemas.openxmlformats.org/officeDocument/2006/relationships/hyperlink" Target="http://www.raponline.org/wp-content/uploads/2016/05/fae-elementsmarketdesignpoland-2015-oct.pdf" TargetMode="External"/><Relationship Id="rId15" Type="http://schemas.openxmlformats.org/officeDocument/2006/relationships/hyperlink" Target="http://www.oecd.org/site/tadffss/data" TargetMode="External"/><Relationship Id="rId10" Type="http://schemas.openxmlformats.org/officeDocument/2006/relationships/hyperlink" Target="http://www.oecd.org/site/tadffss/data" TargetMode="External"/><Relationship Id="rId4" Type="http://schemas.openxmlformats.org/officeDocument/2006/relationships/hyperlink" Target="http://www.oecd.org/site/tadffss/data" TargetMode="External"/><Relationship Id="rId9" Type="http://schemas.openxmlformats.org/officeDocument/2006/relationships/hyperlink" Target="http://www.oecd-ilibrary.org/deliverdotstat?cid=guest&amp;institution_name=&amp;baseurl=http%3a%2f%2fstats.oecd.org%2fwbos%2fbrandedview.aspx&amp;doi=data-00488-en&amp;return_url=http%3a%2f%2fwww.oecd-ilibrary.org%2fenergy%2fdata%2fiea-energy-technology-r-d-statistics_en" TargetMode="External"/><Relationship Id="rId14"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kuke-finance.pl/en/news/kuke-finance-secures-a-deal-with-famur,6.html" TargetMode="External"/><Relationship Id="rId2" Type="http://schemas.openxmlformats.org/officeDocument/2006/relationships/hyperlink" Target="http://www.kuke.com.pl/en/news/kuke-supports-purchase-of-a-ship-worth-over-pln-200-million,6.html" TargetMode="External"/><Relationship Id="rId1" Type="http://schemas.openxmlformats.org/officeDocument/2006/relationships/hyperlink" Target="https://www.en.bgk.pl/investor-relations/annual-repor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kuke.com.pl/en/about-kuke/international-and-domestic-regulations/environmental-protection/projects-notified-ex-ant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investors.enea.pl/pr/293955/skonsolidowany-raport-roczny-rs-2014" TargetMode="External"/><Relationship Id="rId3" Type="http://schemas.openxmlformats.org/officeDocument/2006/relationships/hyperlink" Target="https://ir.energa.pl/en/pr/293742/consolidated-2014-financial-results" TargetMode="External"/><Relationship Id="rId7" Type="http://schemas.openxmlformats.org/officeDocument/2006/relationships/hyperlink" Target="http://ri.lw.com.pl/reports-annual-and-interim-reports" TargetMode="External"/><Relationship Id="rId2" Type="http://schemas.openxmlformats.org/officeDocument/2006/relationships/hyperlink" Target="http://www.pse.pl/index.php?modul=10&amp;gid=116" TargetMode="External"/><Relationship Id="rId1" Type="http://schemas.openxmlformats.org/officeDocument/2006/relationships/hyperlink" Target="https://www.gkpge.pl/investor-relations/Financial-data/2017" TargetMode="External"/><Relationship Id="rId6" Type="http://schemas.openxmlformats.org/officeDocument/2006/relationships/hyperlink" Target="http://en.gaz-system.pl/centrum-prasowe/materialy-do-pobrania/" TargetMode="External"/><Relationship Id="rId5" Type="http://schemas.openxmlformats.org/officeDocument/2006/relationships/hyperlink" Target="http://inwestor.lotos.pl/en/971/reports__key_data/annual_reports" TargetMode="External"/><Relationship Id="rId4" Type="http://schemas.openxmlformats.org/officeDocument/2006/relationships/hyperlink" Target="http://en.pgnig.pl/investor-relations/publications/annual-reports" TargetMode="External"/><Relationship Id="rId9" Type="http://schemas.openxmlformats.org/officeDocument/2006/relationships/hyperlink" Target="http://wbj.pl/state-owned-utilities-to-finance-pgg-coal-gro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25" sqref="A25"/>
    </sheetView>
  </sheetViews>
  <sheetFormatPr defaultRowHeight="13.5" x14ac:dyDescent="0.35"/>
  <cols>
    <col min="1" max="1" width="91.69921875" customWidth="1"/>
  </cols>
  <sheetData>
    <row r="1" spans="1:1" x14ac:dyDescent="0.35">
      <c r="A1" s="78" t="s">
        <v>131</v>
      </c>
    </row>
    <row r="2" spans="1:1" x14ac:dyDescent="0.35">
      <c r="A2" s="78"/>
    </row>
    <row r="3" spans="1:1" ht="14.5" x14ac:dyDescent="0.35">
      <c r="A3" s="69"/>
    </row>
    <row r="4" spans="1:1" ht="29" x14ac:dyDescent="0.35">
      <c r="A4" s="74" t="s">
        <v>132</v>
      </c>
    </row>
    <row r="5" spans="1:1" ht="72.5" x14ac:dyDescent="0.35">
      <c r="A5" s="75" t="s">
        <v>128</v>
      </c>
    </row>
    <row r="6" spans="1:1" ht="43.5" x14ac:dyDescent="0.35">
      <c r="A6" s="70" t="s">
        <v>129</v>
      </c>
    </row>
    <row r="7" spans="1:1" ht="14.5" x14ac:dyDescent="0.35">
      <c r="A7" s="70"/>
    </row>
    <row r="8" spans="1:1" ht="14.5" x14ac:dyDescent="0.35">
      <c r="A8" s="73" t="s">
        <v>130</v>
      </c>
    </row>
    <row r="9" spans="1:1" ht="27" x14ac:dyDescent="0.35">
      <c r="A9" s="68" t="s">
        <v>133</v>
      </c>
    </row>
    <row r="10" spans="1:1" ht="14.5" x14ac:dyDescent="0.35">
      <c r="A10" s="70"/>
    </row>
    <row r="11" spans="1:1" ht="14.5" x14ac:dyDescent="0.35">
      <c r="A11" s="71" t="s">
        <v>88</v>
      </c>
    </row>
    <row r="12" spans="1:1" ht="14.5" x14ac:dyDescent="0.35">
      <c r="A12" s="72" t="s">
        <v>126</v>
      </c>
    </row>
    <row r="13" spans="1:1" ht="14.5" x14ac:dyDescent="0.35">
      <c r="A13" s="72" t="s">
        <v>89</v>
      </c>
    </row>
    <row r="14" spans="1:1" ht="14.5" x14ac:dyDescent="0.35">
      <c r="A14" s="72" t="s">
        <v>77</v>
      </c>
    </row>
    <row r="15" spans="1:1" ht="14.5" x14ac:dyDescent="0.35">
      <c r="A15" s="72" t="s">
        <v>90</v>
      </c>
    </row>
    <row r="16" spans="1:1" ht="14.5" x14ac:dyDescent="0.35">
      <c r="A16" s="72" t="s">
        <v>91</v>
      </c>
    </row>
  </sheetData>
  <mergeCells count="1">
    <mergeCell ref="A1:A2"/>
  </mergeCells>
  <hyperlinks>
    <hyperlink ref="A13" location="'Fiscal support'!A1" display="Fiscal support"/>
    <hyperlink ref="A16" location="'SOE investment'!A1" display="SOE investment"/>
    <hyperlink ref="A14" location="'Public finance (domestic + EU)'!A1" display="Public finance (domestic and EU)"/>
    <hyperlink ref="A15" location="'Public finance (international)'!A1" display="Public finance (international)"/>
    <hyperlink ref="A12" location="Summary!A1" display="Summary"/>
    <hyperlink ref="A8" r:id="rId1"/>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election sqref="A1:W2"/>
    </sheetView>
  </sheetViews>
  <sheetFormatPr defaultRowHeight="13.5" x14ac:dyDescent="0.35"/>
  <cols>
    <col min="1" max="1" width="18" customWidth="1"/>
    <col min="2" max="10" width="7.59765625" customWidth="1"/>
    <col min="11" max="11" width="8.3984375" customWidth="1"/>
    <col min="13" max="13" width="17.19921875" customWidth="1"/>
    <col min="14" max="22" width="7.19921875" customWidth="1"/>
  </cols>
  <sheetData>
    <row r="1" spans="1:23" ht="13.5" customHeight="1" x14ac:dyDescent="0.35">
      <c r="A1" s="78" t="s">
        <v>134</v>
      </c>
      <c r="B1" s="78"/>
      <c r="C1" s="78"/>
      <c r="D1" s="78"/>
      <c r="E1" s="78"/>
      <c r="F1" s="78"/>
      <c r="G1" s="78"/>
      <c r="H1" s="78"/>
      <c r="I1" s="78"/>
      <c r="J1" s="78"/>
      <c r="K1" s="78"/>
      <c r="L1" s="78"/>
      <c r="M1" s="78"/>
      <c r="N1" s="78"/>
      <c r="O1" s="78"/>
      <c r="P1" s="78"/>
      <c r="Q1" s="78"/>
      <c r="R1" s="78"/>
      <c r="S1" s="78"/>
      <c r="T1" s="78"/>
      <c r="U1" s="78"/>
      <c r="V1" s="78"/>
      <c r="W1" s="78"/>
    </row>
    <row r="2" spans="1:23" ht="13.5" customHeight="1" x14ac:dyDescent="0.35">
      <c r="A2" s="78"/>
      <c r="B2" s="78"/>
      <c r="C2" s="78"/>
      <c r="D2" s="78"/>
      <c r="E2" s="78"/>
      <c r="F2" s="78"/>
      <c r="G2" s="78"/>
      <c r="H2" s="78"/>
      <c r="I2" s="78"/>
      <c r="J2" s="78"/>
      <c r="K2" s="78"/>
      <c r="L2" s="78"/>
      <c r="M2" s="78"/>
      <c r="N2" s="78"/>
      <c r="O2" s="78"/>
      <c r="P2" s="78"/>
      <c r="Q2" s="78"/>
      <c r="R2" s="78"/>
      <c r="S2" s="78"/>
      <c r="T2" s="78"/>
      <c r="U2" s="78"/>
      <c r="V2" s="78"/>
      <c r="W2" s="78"/>
    </row>
    <row r="4" spans="1:23" ht="14" thickBot="1" x14ac:dyDescent="0.4">
      <c r="B4" s="61" t="s">
        <v>127</v>
      </c>
      <c r="N4" s="61" t="s">
        <v>124</v>
      </c>
    </row>
    <row r="5" spans="1:23" ht="14" thickBot="1" x14ac:dyDescent="0.4">
      <c r="A5" s="19"/>
      <c r="B5" s="82" t="s">
        <v>27</v>
      </c>
      <c r="C5" s="83"/>
      <c r="D5" s="83"/>
      <c r="E5" s="84"/>
      <c r="F5" s="79" t="s">
        <v>8</v>
      </c>
      <c r="G5" s="80"/>
      <c r="H5" s="80"/>
      <c r="I5" s="80"/>
      <c r="J5" s="81"/>
      <c r="K5" s="20"/>
      <c r="M5" s="19"/>
      <c r="N5" s="82" t="s">
        <v>27</v>
      </c>
      <c r="O5" s="83"/>
      <c r="P5" s="83"/>
      <c r="Q5" s="84"/>
      <c r="R5" s="79" t="s">
        <v>8</v>
      </c>
      <c r="S5" s="80"/>
      <c r="T5" s="80"/>
      <c r="U5" s="80"/>
      <c r="V5" s="81"/>
      <c r="W5" s="20"/>
    </row>
    <row r="6" spans="1:23" ht="48.5" thickBot="1" x14ac:dyDescent="0.4">
      <c r="A6" s="21" t="s">
        <v>122</v>
      </c>
      <c r="B6" s="22" t="s">
        <v>59</v>
      </c>
      <c r="C6" s="22" t="s">
        <v>60</v>
      </c>
      <c r="D6" s="22" t="s">
        <v>61</v>
      </c>
      <c r="E6" s="22" t="s">
        <v>69</v>
      </c>
      <c r="F6" s="22" t="s">
        <v>19</v>
      </c>
      <c r="G6" s="22" t="s">
        <v>20</v>
      </c>
      <c r="H6" s="23" t="s">
        <v>62</v>
      </c>
      <c r="I6" s="23" t="s">
        <v>21</v>
      </c>
      <c r="J6" s="23" t="s">
        <v>39</v>
      </c>
      <c r="K6" s="24" t="s">
        <v>66</v>
      </c>
      <c r="M6" s="21" t="s">
        <v>122</v>
      </c>
      <c r="N6" s="22" t="s">
        <v>59</v>
      </c>
      <c r="O6" s="22" t="s">
        <v>60</v>
      </c>
      <c r="P6" s="22" t="s">
        <v>61</v>
      </c>
      <c r="Q6" s="22" t="s">
        <v>69</v>
      </c>
      <c r="R6" s="22" t="s">
        <v>19</v>
      </c>
      <c r="S6" s="22" t="s">
        <v>20</v>
      </c>
      <c r="T6" s="23" t="s">
        <v>62</v>
      </c>
      <c r="U6" s="23" t="s">
        <v>21</v>
      </c>
      <c r="V6" s="23" t="s">
        <v>39</v>
      </c>
      <c r="W6" s="24" t="s">
        <v>66</v>
      </c>
    </row>
    <row r="7" spans="1:23" ht="60.5" x14ac:dyDescent="0.35">
      <c r="A7" s="25" t="s">
        <v>123</v>
      </c>
      <c r="B7" s="26">
        <v>14.946259949999998</v>
      </c>
      <c r="C7" s="26">
        <v>54.954446816000001</v>
      </c>
      <c r="D7" s="26">
        <v>327.51236774681598</v>
      </c>
      <c r="E7" s="27">
        <v>0</v>
      </c>
      <c r="F7" s="28" t="s">
        <v>30</v>
      </c>
      <c r="G7" s="28">
        <v>157.13999999999999</v>
      </c>
      <c r="H7" s="28" t="s">
        <v>30</v>
      </c>
      <c r="I7" s="29" t="s">
        <v>30</v>
      </c>
      <c r="J7" s="30">
        <v>0</v>
      </c>
      <c r="K7" s="62">
        <f>SUM(B7:J7)</f>
        <v>554.55307451281601</v>
      </c>
      <c r="L7" s="58"/>
      <c r="M7" s="25" t="s">
        <v>123</v>
      </c>
      <c r="N7" s="26">
        <v>62.55</v>
      </c>
      <c r="O7" s="26">
        <v>229.98399999999998</v>
      </c>
      <c r="P7" s="26">
        <v>1373.9299839999999</v>
      </c>
      <c r="Q7" s="27">
        <v>0</v>
      </c>
      <c r="R7" s="28" t="s">
        <v>30</v>
      </c>
      <c r="S7" s="28">
        <v>157.13999999999999</v>
      </c>
      <c r="T7" s="28" t="s">
        <v>30</v>
      </c>
      <c r="U7" s="29" t="s">
        <v>30</v>
      </c>
      <c r="V7" s="30">
        <v>0</v>
      </c>
      <c r="W7" s="62">
        <f>SUM(N7:V7)</f>
        <v>1823.6039839999999</v>
      </c>
    </row>
    <row r="8" spans="1:23" x14ac:dyDescent="0.35">
      <c r="A8" s="31" t="s">
        <v>63</v>
      </c>
      <c r="B8" s="32">
        <f>SUM(B9:B10)</f>
        <v>143.40633006500002</v>
      </c>
      <c r="C8" s="32">
        <f>SUM(C9:C10)</f>
        <v>15.280666666666667</v>
      </c>
      <c r="D8" s="32">
        <v>0</v>
      </c>
      <c r="E8" s="32">
        <v>0</v>
      </c>
      <c r="F8" s="32">
        <v>0</v>
      </c>
      <c r="G8" s="32">
        <v>0</v>
      </c>
      <c r="H8" s="32">
        <v>0</v>
      </c>
      <c r="I8" s="33">
        <v>0</v>
      </c>
      <c r="J8" s="34">
        <v>0</v>
      </c>
      <c r="K8" s="63">
        <f>SUM(B8:J8)</f>
        <v>158.68699673166668</v>
      </c>
      <c r="L8" s="58"/>
      <c r="M8" s="31" t="s">
        <v>63</v>
      </c>
      <c r="N8" s="32">
        <f>SUM(N9:N10)</f>
        <v>349.685092</v>
      </c>
      <c r="O8" s="32">
        <f>SUM(O9:O10)</f>
        <v>66.666666666666671</v>
      </c>
      <c r="P8" s="32">
        <v>0</v>
      </c>
      <c r="Q8" s="32">
        <v>0</v>
      </c>
      <c r="R8" s="32">
        <v>0</v>
      </c>
      <c r="S8" s="32">
        <v>0</v>
      </c>
      <c r="T8" s="32">
        <v>0</v>
      </c>
      <c r="U8" s="33">
        <v>0</v>
      </c>
      <c r="V8" s="34">
        <v>0</v>
      </c>
      <c r="W8" s="63">
        <f>SUM(N8:V8)</f>
        <v>416.35175866666668</v>
      </c>
    </row>
    <row r="9" spans="1:23" x14ac:dyDescent="0.35">
      <c r="A9" s="35" t="s">
        <v>78</v>
      </c>
      <c r="B9" s="36">
        <v>4.6315360650000006</v>
      </c>
      <c r="C9" s="36">
        <v>15.280666666666667</v>
      </c>
      <c r="D9" s="36">
        <v>0</v>
      </c>
      <c r="E9" s="36" t="s">
        <v>30</v>
      </c>
      <c r="F9" s="36">
        <v>0</v>
      </c>
      <c r="G9" s="36">
        <v>0</v>
      </c>
      <c r="H9" s="36">
        <v>0</v>
      </c>
      <c r="I9" s="37">
        <v>0</v>
      </c>
      <c r="J9" s="38">
        <v>0</v>
      </c>
      <c r="K9" s="64">
        <f>SUM(B9:J9)</f>
        <v>19.912202731666667</v>
      </c>
      <c r="L9" s="58"/>
      <c r="M9" s="35" t="s">
        <v>78</v>
      </c>
      <c r="N9" s="36">
        <v>19.5</v>
      </c>
      <c r="O9" s="36">
        <v>66.666666666666671</v>
      </c>
      <c r="P9" s="36">
        <v>0</v>
      </c>
      <c r="Q9" s="36" t="s">
        <v>30</v>
      </c>
      <c r="R9" s="36">
        <v>0</v>
      </c>
      <c r="S9" s="36">
        <v>0</v>
      </c>
      <c r="T9" s="36">
        <v>0</v>
      </c>
      <c r="U9" s="37">
        <v>0</v>
      </c>
      <c r="V9" s="38">
        <v>0</v>
      </c>
      <c r="W9" s="64">
        <f>SUM(N9:V9)</f>
        <v>86.166666666666671</v>
      </c>
    </row>
    <row r="10" spans="1:23" x14ac:dyDescent="0.35">
      <c r="A10" s="39" t="s">
        <v>64</v>
      </c>
      <c r="B10" s="40">
        <v>138.77479400000001</v>
      </c>
      <c r="C10" s="40">
        <v>0</v>
      </c>
      <c r="D10" s="40">
        <v>0</v>
      </c>
      <c r="E10" s="40">
        <v>0</v>
      </c>
      <c r="F10" s="40">
        <v>0</v>
      </c>
      <c r="G10" s="40">
        <v>0</v>
      </c>
      <c r="H10" s="40">
        <v>0</v>
      </c>
      <c r="I10" s="41">
        <v>0</v>
      </c>
      <c r="J10" s="42">
        <v>0</v>
      </c>
      <c r="K10" s="65">
        <f>SUM(B10:J10)</f>
        <v>138.77479400000001</v>
      </c>
      <c r="L10" s="58"/>
      <c r="M10" s="39" t="s">
        <v>64</v>
      </c>
      <c r="N10" s="40">
        <v>330.185092</v>
      </c>
      <c r="O10" s="40">
        <v>0</v>
      </c>
      <c r="P10" s="40">
        <v>0</v>
      </c>
      <c r="Q10" s="40">
        <v>0</v>
      </c>
      <c r="R10" s="40">
        <v>0</v>
      </c>
      <c r="S10" s="40">
        <v>0</v>
      </c>
      <c r="T10" s="40">
        <v>0</v>
      </c>
      <c r="U10" s="41">
        <v>0</v>
      </c>
      <c r="V10" s="42">
        <v>0</v>
      </c>
      <c r="W10" s="65">
        <f>SUM(N10:V10)</f>
        <v>330.185092</v>
      </c>
    </row>
    <row r="11" spans="1:23" ht="37" thickBot="1" x14ac:dyDescent="0.4">
      <c r="A11" s="67" t="s">
        <v>125</v>
      </c>
      <c r="B11" s="43">
        <v>295.04980452180001</v>
      </c>
      <c r="C11" s="43">
        <v>1375.396279</v>
      </c>
      <c r="D11" s="43">
        <v>2791.0992101477996</v>
      </c>
      <c r="E11" s="43">
        <v>0</v>
      </c>
      <c r="F11" s="43">
        <v>0</v>
      </c>
      <c r="G11" s="43">
        <v>0</v>
      </c>
      <c r="H11" s="43">
        <v>0</v>
      </c>
      <c r="I11" s="44">
        <v>0</v>
      </c>
      <c r="J11" s="45">
        <v>0</v>
      </c>
      <c r="K11" s="66">
        <f>SUM(B11:J11)</f>
        <v>4461.5452936696001</v>
      </c>
      <c r="L11" s="58"/>
      <c r="M11" s="67" t="s">
        <v>125</v>
      </c>
      <c r="N11" s="43">
        <v>1268.723</v>
      </c>
      <c r="O11" s="43">
        <v>5790.666666666667</v>
      </c>
      <c r="P11" s="43">
        <v>11746.395416666668</v>
      </c>
      <c r="Q11" s="43">
        <v>0</v>
      </c>
      <c r="R11" s="43">
        <v>0</v>
      </c>
      <c r="S11" s="43">
        <v>0</v>
      </c>
      <c r="T11" s="43">
        <v>0</v>
      </c>
      <c r="U11" s="44">
        <v>0</v>
      </c>
      <c r="V11" s="45">
        <v>0</v>
      </c>
      <c r="W11" s="66">
        <f>SUM(N11:V11)</f>
        <v>18805.785083333336</v>
      </c>
    </row>
  </sheetData>
  <mergeCells count="5">
    <mergeCell ref="R5:V5"/>
    <mergeCell ref="B5:E5"/>
    <mergeCell ref="F5:J5"/>
    <mergeCell ref="N5:Q5"/>
    <mergeCell ref="A1:W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O5" sqref="O5"/>
    </sheetView>
  </sheetViews>
  <sheetFormatPr defaultRowHeight="13.5" x14ac:dyDescent="0.35"/>
  <cols>
    <col min="1" max="1" width="34" customWidth="1"/>
    <col min="2" max="2" width="21.09765625" customWidth="1"/>
    <col min="3" max="3" width="11.19921875" customWidth="1"/>
    <col min="4" max="4" width="11.8984375" customWidth="1"/>
    <col min="5" max="5" width="12.3984375" customWidth="1"/>
    <col min="6" max="6" width="10.796875" customWidth="1"/>
    <col min="7" max="7" width="15.8984375" customWidth="1"/>
    <col min="11" max="11" width="9.09765625" customWidth="1"/>
    <col min="12" max="13" width="11.296875" customWidth="1"/>
    <col min="14" max="14" width="28.796875" customWidth="1"/>
    <col min="15" max="15" width="41" customWidth="1"/>
  </cols>
  <sheetData>
    <row r="1" spans="1:15" ht="13.5" customHeight="1" x14ac:dyDescent="0.35">
      <c r="A1" s="85" t="s">
        <v>136</v>
      </c>
      <c r="B1" s="85"/>
      <c r="C1" s="85"/>
      <c r="D1" s="85"/>
      <c r="E1" s="85"/>
      <c r="F1" s="85"/>
      <c r="G1" s="85"/>
      <c r="H1" s="85"/>
      <c r="I1" s="85"/>
      <c r="J1" s="85"/>
      <c r="K1" s="85"/>
      <c r="L1" s="85"/>
      <c r="M1" s="85"/>
      <c r="N1" s="85"/>
    </row>
    <row r="2" spans="1:15" ht="13.5" customHeight="1" x14ac:dyDescent="0.35">
      <c r="A2" s="85"/>
      <c r="B2" s="85"/>
      <c r="C2" s="85"/>
      <c r="D2" s="85"/>
      <c r="E2" s="85"/>
      <c r="F2" s="85"/>
      <c r="G2" s="85"/>
      <c r="H2" s="85"/>
      <c r="I2" s="85"/>
      <c r="J2" s="85"/>
      <c r="K2" s="85"/>
      <c r="L2" s="85"/>
      <c r="M2" s="85"/>
      <c r="N2" s="85"/>
    </row>
    <row r="4" spans="1:15" ht="65" x14ac:dyDescent="0.35">
      <c r="A4" s="51" t="s">
        <v>92</v>
      </c>
      <c r="B4" s="51" t="s">
        <v>93</v>
      </c>
      <c r="C4" s="51" t="s">
        <v>0</v>
      </c>
      <c r="D4" s="51" t="s">
        <v>1</v>
      </c>
      <c r="E4" s="51" t="s">
        <v>2</v>
      </c>
      <c r="F4" s="51" t="s">
        <v>3</v>
      </c>
      <c r="G4" s="51" t="s">
        <v>4</v>
      </c>
      <c r="H4" s="51" t="s">
        <v>94</v>
      </c>
      <c r="I4" s="51" t="s">
        <v>95</v>
      </c>
      <c r="J4" s="51" t="s">
        <v>96</v>
      </c>
      <c r="K4" s="51" t="s">
        <v>97</v>
      </c>
      <c r="L4" s="52" t="s">
        <v>98</v>
      </c>
      <c r="M4" s="51" t="s">
        <v>5</v>
      </c>
      <c r="N4" s="51" t="s">
        <v>9</v>
      </c>
      <c r="O4" s="88" t="s">
        <v>139</v>
      </c>
    </row>
    <row r="5" spans="1:15" ht="78" x14ac:dyDescent="0.35">
      <c r="A5" s="1" t="s">
        <v>38</v>
      </c>
      <c r="B5" s="2" t="s">
        <v>25</v>
      </c>
      <c r="C5" s="3" t="s">
        <v>6</v>
      </c>
      <c r="D5" s="4" t="s">
        <v>7</v>
      </c>
      <c r="E5" s="3" t="s">
        <v>27</v>
      </c>
      <c r="F5" s="3" t="s">
        <v>39</v>
      </c>
      <c r="G5" s="4"/>
      <c r="H5" s="5">
        <v>31.431999999999999</v>
      </c>
      <c r="I5" s="5" t="s">
        <v>30</v>
      </c>
      <c r="J5" s="5" t="s">
        <v>30</v>
      </c>
      <c r="K5" s="9">
        <f>H5</f>
        <v>31.431999999999999</v>
      </c>
      <c r="L5" s="9">
        <f>K5*0.238949</f>
        <v>7.5106449679999994</v>
      </c>
      <c r="M5" s="10" t="s">
        <v>103</v>
      </c>
      <c r="N5" s="53" t="s">
        <v>102</v>
      </c>
    </row>
    <row r="6" spans="1:15" ht="26" x14ac:dyDescent="0.35">
      <c r="A6" s="1" t="s">
        <v>37</v>
      </c>
      <c r="B6" s="2" t="s">
        <v>25</v>
      </c>
      <c r="C6" s="3" t="s">
        <v>6</v>
      </c>
      <c r="D6" s="4" t="s">
        <v>35</v>
      </c>
      <c r="E6" s="3" t="s">
        <v>27</v>
      </c>
      <c r="F6" s="3" t="s">
        <v>39</v>
      </c>
      <c r="G6" s="4"/>
      <c r="H6" s="5">
        <v>59.223999999999997</v>
      </c>
      <c r="I6" s="5" t="s">
        <v>30</v>
      </c>
      <c r="J6" s="5" t="s">
        <v>30</v>
      </c>
      <c r="K6" s="9">
        <f>H6</f>
        <v>59.223999999999997</v>
      </c>
      <c r="L6" s="9">
        <f>K6*0.238949</f>
        <v>14.151515576</v>
      </c>
      <c r="M6" s="10" t="s">
        <v>103</v>
      </c>
      <c r="N6" s="16"/>
    </row>
    <row r="7" spans="1:15" ht="26" x14ac:dyDescent="0.35">
      <c r="A7" s="1" t="s">
        <v>36</v>
      </c>
      <c r="B7" s="2" t="s">
        <v>25</v>
      </c>
      <c r="C7" s="3" t="s">
        <v>6</v>
      </c>
      <c r="D7" s="4" t="s">
        <v>7</v>
      </c>
      <c r="E7" s="3" t="s">
        <v>27</v>
      </c>
      <c r="F7" s="3" t="s">
        <v>39</v>
      </c>
      <c r="G7" s="4"/>
      <c r="H7" s="5">
        <v>31.117999999999999</v>
      </c>
      <c r="I7" s="5" t="s">
        <v>30</v>
      </c>
      <c r="J7" s="5" t="s">
        <v>30</v>
      </c>
      <c r="K7" s="9">
        <f>H7</f>
        <v>31.117999999999999</v>
      </c>
      <c r="L7" s="9">
        <f>K7*0.238949</f>
        <v>7.4356149819999997</v>
      </c>
      <c r="M7" s="10" t="s">
        <v>103</v>
      </c>
      <c r="N7" s="16"/>
    </row>
    <row r="8" spans="1:15" ht="65" x14ac:dyDescent="0.35">
      <c r="A8" s="8" t="s">
        <v>22</v>
      </c>
      <c r="B8" s="4" t="s">
        <v>11</v>
      </c>
      <c r="C8" s="3" t="s">
        <v>6</v>
      </c>
      <c r="D8" s="4" t="s">
        <v>7</v>
      </c>
      <c r="E8" s="3" t="s">
        <v>8</v>
      </c>
      <c r="F8" s="3" t="s">
        <v>20</v>
      </c>
      <c r="G8" s="4"/>
      <c r="H8" s="5">
        <v>13.5</v>
      </c>
      <c r="I8" s="6" t="s">
        <v>30</v>
      </c>
      <c r="J8" s="6" t="s">
        <v>30</v>
      </c>
      <c r="K8" s="6" t="s">
        <v>30</v>
      </c>
      <c r="L8" s="6" t="s">
        <v>30</v>
      </c>
      <c r="M8" s="7" t="s">
        <v>104</v>
      </c>
      <c r="N8" s="16"/>
    </row>
    <row r="9" spans="1:15" ht="169" x14ac:dyDescent="0.35">
      <c r="A9" s="11" t="s">
        <v>34</v>
      </c>
      <c r="B9" s="2" t="s">
        <v>10</v>
      </c>
      <c r="C9" s="12" t="s">
        <v>13</v>
      </c>
      <c r="D9" s="4" t="s">
        <v>17</v>
      </c>
      <c r="E9" s="12" t="s">
        <v>8</v>
      </c>
      <c r="F9" s="12" t="s">
        <v>21</v>
      </c>
      <c r="G9" s="2"/>
      <c r="H9" s="6" t="s">
        <v>30</v>
      </c>
      <c r="I9" s="6" t="s">
        <v>30</v>
      </c>
      <c r="J9" s="6" t="s">
        <v>30</v>
      </c>
      <c r="K9" s="6" t="s">
        <v>30</v>
      </c>
      <c r="L9" s="6" t="s">
        <v>30</v>
      </c>
      <c r="M9" s="7" t="s">
        <v>104</v>
      </c>
      <c r="N9" s="16"/>
    </row>
    <row r="10" spans="1:15" ht="135.5" customHeight="1" x14ac:dyDescent="0.35">
      <c r="A10" s="11" t="s">
        <v>120</v>
      </c>
      <c r="B10" s="2" t="s">
        <v>25</v>
      </c>
      <c r="C10" s="12" t="s">
        <v>13</v>
      </c>
      <c r="D10" s="2" t="s">
        <v>14</v>
      </c>
      <c r="E10" s="12" t="s">
        <v>8</v>
      </c>
      <c r="F10" s="12" t="s">
        <v>20</v>
      </c>
      <c r="G10" s="2"/>
      <c r="H10" s="6" t="s">
        <v>30</v>
      </c>
      <c r="I10" s="6" t="s">
        <v>30</v>
      </c>
      <c r="J10" s="6" t="s">
        <v>30</v>
      </c>
      <c r="K10" s="6" t="s">
        <v>30</v>
      </c>
      <c r="L10" s="6" t="s">
        <v>30</v>
      </c>
      <c r="M10" s="7" t="s">
        <v>15</v>
      </c>
      <c r="N10" s="16"/>
    </row>
    <row r="11" spans="1:15" ht="117" x14ac:dyDescent="0.35">
      <c r="A11" s="11" t="s">
        <v>23</v>
      </c>
      <c r="B11" s="2" t="s">
        <v>25</v>
      </c>
      <c r="C11" s="12" t="s">
        <v>13</v>
      </c>
      <c r="D11" s="2" t="s">
        <v>12</v>
      </c>
      <c r="E11" s="12" t="s">
        <v>8</v>
      </c>
      <c r="F11" s="12" t="s">
        <v>16</v>
      </c>
      <c r="G11" s="2"/>
      <c r="H11" s="6" t="s">
        <v>30</v>
      </c>
      <c r="I11" s="6" t="s">
        <v>30</v>
      </c>
      <c r="J11" s="6" t="s">
        <v>30</v>
      </c>
      <c r="K11" s="6" t="s">
        <v>30</v>
      </c>
      <c r="L11" s="6" t="s">
        <v>30</v>
      </c>
      <c r="M11" s="7" t="s">
        <v>15</v>
      </c>
      <c r="N11" s="16"/>
    </row>
    <row r="12" spans="1:15" ht="26" x14ac:dyDescent="0.35">
      <c r="A12" s="11" t="s">
        <v>24</v>
      </c>
      <c r="B12" s="13" t="s">
        <v>18</v>
      </c>
      <c r="C12" s="3" t="s">
        <v>13</v>
      </c>
      <c r="D12" s="4" t="s">
        <v>17</v>
      </c>
      <c r="E12" s="3" t="s">
        <v>8</v>
      </c>
      <c r="F12" s="3" t="s">
        <v>19</v>
      </c>
      <c r="G12" s="14"/>
      <c r="H12" s="6" t="s">
        <v>30</v>
      </c>
      <c r="I12" s="6" t="s">
        <v>30</v>
      </c>
      <c r="J12" s="6" t="s">
        <v>30</v>
      </c>
      <c r="K12" s="6" t="s">
        <v>30</v>
      </c>
      <c r="L12" s="6" t="s">
        <v>30</v>
      </c>
      <c r="M12" s="2" t="s">
        <v>26</v>
      </c>
      <c r="N12" s="16"/>
    </row>
    <row r="13" spans="1:15" ht="52" x14ac:dyDescent="0.35">
      <c r="A13" s="1" t="s">
        <v>28</v>
      </c>
      <c r="B13" s="2" t="s">
        <v>25</v>
      </c>
      <c r="C13" s="3" t="s">
        <v>6</v>
      </c>
      <c r="D13" s="4" t="s">
        <v>7</v>
      </c>
      <c r="E13" s="3" t="s">
        <v>27</v>
      </c>
      <c r="F13" s="18" t="s">
        <v>68</v>
      </c>
      <c r="G13" s="4"/>
      <c r="H13" s="5" t="s">
        <v>30</v>
      </c>
      <c r="I13" s="6" t="s">
        <v>30</v>
      </c>
      <c r="J13" s="6" t="s">
        <v>30</v>
      </c>
      <c r="K13" s="6" t="s">
        <v>30</v>
      </c>
      <c r="L13" s="6" t="s">
        <v>30</v>
      </c>
      <c r="M13" s="7" t="s">
        <v>104</v>
      </c>
      <c r="N13" s="16"/>
    </row>
    <row r="14" spans="1:15" ht="78" x14ac:dyDescent="0.35">
      <c r="A14" s="1" t="s">
        <v>29</v>
      </c>
      <c r="B14" s="2" t="s">
        <v>25</v>
      </c>
      <c r="C14" s="3" t="s">
        <v>6</v>
      </c>
      <c r="D14" s="4" t="s">
        <v>7</v>
      </c>
      <c r="E14" s="3" t="s">
        <v>27</v>
      </c>
      <c r="F14" s="18" t="s">
        <v>67</v>
      </c>
      <c r="G14" s="4"/>
      <c r="H14" s="6" t="s">
        <v>30</v>
      </c>
      <c r="I14" s="6" t="s">
        <v>30</v>
      </c>
      <c r="J14" s="6" t="s">
        <v>30</v>
      </c>
      <c r="K14" s="6" t="s">
        <v>30</v>
      </c>
      <c r="L14" s="6" t="s">
        <v>30</v>
      </c>
      <c r="M14" s="7" t="s">
        <v>104</v>
      </c>
      <c r="N14" s="16"/>
    </row>
    <row r="15" spans="1:15" ht="78" x14ac:dyDescent="0.35">
      <c r="A15" s="1" t="s">
        <v>33</v>
      </c>
      <c r="B15" s="2" t="s">
        <v>25</v>
      </c>
      <c r="C15" s="3" t="s">
        <v>6</v>
      </c>
      <c r="D15" s="4" t="s">
        <v>7</v>
      </c>
      <c r="E15" s="3" t="s">
        <v>27</v>
      </c>
      <c r="F15" s="18" t="s">
        <v>67</v>
      </c>
      <c r="G15" s="4"/>
      <c r="H15" s="6" t="s">
        <v>30</v>
      </c>
      <c r="I15" s="6" t="s">
        <v>30</v>
      </c>
      <c r="J15" s="6" t="s">
        <v>30</v>
      </c>
      <c r="K15" s="6" t="s">
        <v>30</v>
      </c>
      <c r="L15" s="6" t="s">
        <v>30</v>
      </c>
      <c r="M15" s="7" t="s">
        <v>104</v>
      </c>
      <c r="N15" s="16"/>
    </row>
    <row r="16" spans="1:15" ht="65" x14ac:dyDescent="0.35">
      <c r="A16" s="8" t="s">
        <v>45</v>
      </c>
      <c r="B16" s="2" t="s">
        <v>25</v>
      </c>
      <c r="C16" s="3" t="s">
        <v>6</v>
      </c>
      <c r="D16" s="4" t="s">
        <v>82</v>
      </c>
      <c r="E16" s="3" t="s">
        <v>27</v>
      </c>
      <c r="F16" s="3" t="s">
        <v>46</v>
      </c>
      <c r="G16" s="4"/>
      <c r="H16" s="5">
        <v>741.92998399999999</v>
      </c>
      <c r="I16" s="6" t="s">
        <v>30</v>
      </c>
      <c r="J16" s="6" t="s">
        <v>30</v>
      </c>
      <c r="K16" s="5">
        <v>741.92998399999999</v>
      </c>
      <c r="L16" s="9">
        <f>K16*0.238949</f>
        <v>177.28342774681599</v>
      </c>
      <c r="M16" s="7" t="s">
        <v>104</v>
      </c>
      <c r="N16" s="16"/>
    </row>
    <row r="17" spans="1:14" ht="52" x14ac:dyDescent="0.35">
      <c r="A17" s="1" t="s">
        <v>32</v>
      </c>
      <c r="B17" s="2" t="s">
        <v>25</v>
      </c>
      <c r="C17" s="3" t="s">
        <v>6</v>
      </c>
      <c r="D17" s="4" t="s">
        <v>7</v>
      </c>
      <c r="E17" s="3" t="s">
        <v>27</v>
      </c>
      <c r="F17" s="18" t="s">
        <v>68</v>
      </c>
      <c r="G17" s="4"/>
      <c r="H17" s="6" t="s">
        <v>30</v>
      </c>
      <c r="I17" s="6" t="s">
        <v>30</v>
      </c>
      <c r="J17" s="6" t="s">
        <v>30</v>
      </c>
      <c r="K17" s="6" t="s">
        <v>30</v>
      </c>
      <c r="L17" s="6" t="s">
        <v>30</v>
      </c>
      <c r="M17" s="7" t="s">
        <v>104</v>
      </c>
      <c r="N17" s="16"/>
    </row>
    <row r="18" spans="1:14" ht="39" x14ac:dyDescent="0.35">
      <c r="A18" s="1" t="s">
        <v>31</v>
      </c>
      <c r="B18" s="2" t="s">
        <v>25</v>
      </c>
      <c r="C18" s="3" t="s">
        <v>6</v>
      </c>
      <c r="D18" s="3" t="s">
        <v>12</v>
      </c>
      <c r="E18" s="3" t="s">
        <v>47</v>
      </c>
      <c r="F18" s="3" t="s">
        <v>70</v>
      </c>
      <c r="G18" s="4"/>
      <c r="H18" s="5">
        <v>170.76</v>
      </c>
      <c r="I18" s="6" t="s">
        <v>30</v>
      </c>
      <c r="J18" s="6" t="s">
        <v>30</v>
      </c>
      <c r="K18" s="5">
        <v>170.76</v>
      </c>
      <c r="L18" s="9">
        <f>K18*0.238949</f>
        <v>40.802931239999999</v>
      </c>
      <c r="M18" s="7" t="s">
        <v>104</v>
      </c>
      <c r="N18" s="16"/>
    </row>
    <row r="19" spans="1:14" ht="52" x14ac:dyDescent="0.35">
      <c r="A19" s="8" t="s">
        <v>83</v>
      </c>
      <c r="B19" s="2" t="s">
        <v>25</v>
      </c>
      <c r="C19" s="3" t="s">
        <v>6</v>
      </c>
      <c r="D19" s="4" t="s">
        <v>85</v>
      </c>
      <c r="E19" s="3" t="s">
        <v>27</v>
      </c>
      <c r="F19" s="3" t="s">
        <v>46</v>
      </c>
      <c r="G19" s="4"/>
      <c r="H19" s="6" t="s">
        <v>30</v>
      </c>
      <c r="I19" s="6" t="s">
        <v>30</v>
      </c>
      <c r="J19" s="6">
        <v>174</v>
      </c>
      <c r="K19" s="9">
        <f>J19</f>
        <v>174</v>
      </c>
      <c r="L19" s="9">
        <f>K19*0.234427</f>
        <v>40.790298</v>
      </c>
      <c r="M19" s="7" t="s">
        <v>84</v>
      </c>
      <c r="N19" s="16"/>
    </row>
    <row r="20" spans="1:14" ht="67.5" x14ac:dyDescent="0.35">
      <c r="A20" s="8" t="s">
        <v>48</v>
      </c>
      <c r="B20" s="2" t="s">
        <v>25</v>
      </c>
      <c r="C20" s="3" t="s">
        <v>6</v>
      </c>
      <c r="D20" s="4" t="s">
        <v>85</v>
      </c>
      <c r="E20" s="3" t="s">
        <v>27</v>
      </c>
      <c r="F20" s="3" t="s">
        <v>46</v>
      </c>
      <c r="G20" s="4"/>
      <c r="H20" s="6" t="s">
        <v>30</v>
      </c>
      <c r="I20" s="6">
        <v>416</v>
      </c>
      <c r="J20" s="9">
        <v>500</v>
      </c>
      <c r="K20" s="9">
        <f>AVERAGE(I20:J20)</f>
        <v>458</v>
      </c>
      <c r="L20" s="9">
        <f>K20*0.238949</f>
        <v>109.438642</v>
      </c>
      <c r="M20" s="7" t="s">
        <v>117</v>
      </c>
      <c r="N20" s="16" t="s">
        <v>116</v>
      </c>
    </row>
    <row r="21" spans="1:14" ht="52.5" x14ac:dyDescent="0.35">
      <c r="A21" s="59" t="s">
        <v>119</v>
      </c>
      <c r="B21" s="2" t="s">
        <v>25</v>
      </c>
      <c r="C21" s="3" t="s">
        <v>6</v>
      </c>
      <c r="D21" s="4" t="s">
        <v>39</v>
      </c>
      <c r="E21" s="3" t="s">
        <v>8</v>
      </c>
      <c r="F21" s="3" t="s">
        <v>20</v>
      </c>
      <c r="G21" s="4"/>
      <c r="H21" s="9">
        <f>L21*(1/0.23751467)</f>
        <v>661.60123919924604</v>
      </c>
      <c r="I21" s="9">
        <f>L21*(1/0.23751467)</f>
        <v>661.60123919924604</v>
      </c>
      <c r="J21" s="9">
        <f>L21*(1/0.23751467)</f>
        <v>661.60123919924604</v>
      </c>
      <c r="K21" s="9">
        <f>L21*(1/0.23751467)</f>
        <v>661.60123919924604</v>
      </c>
      <c r="L21" s="9">
        <v>157.13999999999999</v>
      </c>
      <c r="M21" s="7" t="s">
        <v>87</v>
      </c>
      <c r="N21" s="54" t="s">
        <v>86</v>
      </c>
    </row>
  </sheetData>
  <autoFilter ref="A4:N21"/>
  <mergeCells count="1">
    <mergeCell ref="A1:N2"/>
  </mergeCells>
  <hyperlinks>
    <hyperlink ref="N8" r:id="rId1" display="https://www.bundesfinanzministerium.de/Content/DE/Standardartikel/Themen/Oeffentliche_Finanzen/Subventionspolitik/2015-08-26-subventionsbericht-25-vollstaendig.pdf?__blob=publicationFile&amp;v=2"/>
    <hyperlink ref="M5" r:id="rId2" display="IEA 2017"/>
    <hyperlink ref="M11" r:id="rId3"/>
    <hyperlink ref="M8" r:id="rId4" display="OECD 2017"/>
    <hyperlink ref="M19" r:id="rId5"/>
    <hyperlink ref="M20" r:id="rId6"/>
    <hyperlink ref="M21" r:id="rId7"/>
    <hyperlink ref="M6" r:id="rId8" display="IEA 2017"/>
    <hyperlink ref="M7" r:id="rId9" display="IEA 2017"/>
    <hyperlink ref="M9" r:id="rId10" display="OECD 2017"/>
    <hyperlink ref="M10" r:id="rId11"/>
    <hyperlink ref="M13" r:id="rId12" display="OECD 2017"/>
    <hyperlink ref="M14" r:id="rId13" display="OECD 2017"/>
    <hyperlink ref="M15" r:id="rId14" display="OECD 2017"/>
    <hyperlink ref="M16" r:id="rId15" display="OECD 2017"/>
    <hyperlink ref="M17" r:id="rId16" display="OECD 2017"/>
    <hyperlink ref="M18" r:id="rId17" display="OECD 2017"/>
  </hyperlinks>
  <pageMargins left="0.7" right="0.7" top="0.75" bottom="0.75" header="0.3" footer="0.3"/>
  <ignoredErrors>
    <ignoredError sqref="L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F21" sqref="F21"/>
    </sheetView>
  </sheetViews>
  <sheetFormatPr defaultRowHeight="13.5" x14ac:dyDescent="0.35"/>
  <cols>
    <col min="1" max="1" width="30.5" customWidth="1"/>
    <col min="2" max="2" width="16.59765625" customWidth="1"/>
    <col min="3" max="3" width="12.09765625" customWidth="1"/>
    <col min="4" max="4" width="10.8984375" customWidth="1"/>
    <col min="5" max="5" width="13.5" customWidth="1"/>
    <col min="6" max="6" width="12.3984375" customWidth="1"/>
  </cols>
  <sheetData>
    <row r="1" spans="1:13" ht="13.5" customHeight="1" x14ac:dyDescent="0.35">
      <c r="A1" s="86" t="s">
        <v>137</v>
      </c>
      <c r="B1" s="86"/>
      <c r="C1" s="86"/>
      <c r="D1" s="86"/>
      <c r="E1" s="86"/>
      <c r="F1" s="86"/>
      <c r="G1" s="86"/>
      <c r="H1" s="86"/>
      <c r="I1" s="86"/>
      <c r="J1" s="86"/>
      <c r="K1" s="86"/>
      <c r="L1" s="86"/>
      <c r="M1" s="86"/>
    </row>
    <row r="2" spans="1:13" ht="13.5" customHeight="1" x14ac:dyDescent="0.35">
      <c r="A2" s="86"/>
      <c r="B2" s="86"/>
      <c r="C2" s="86"/>
      <c r="D2" s="86"/>
      <c r="E2" s="86"/>
      <c r="F2" s="86"/>
      <c r="G2" s="86"/>
      <c r="H2" s="86"/>
      <c r="I2" s="86"/>
      <c r="J2" s="86"/>
      <c r="K2" s="86"/>
      <c r="L2" s="86"/>
      <c r="M2" s="86"/>
    </row>
    <row r="4" spans="1:13" ht="78" x14ac:dyDescent="0.35">
      <c r="A4" s="51" t="s">
        <v>92</v>
      </c>
      <c r="B4" s="51" t="s">
        <v>93</v>
      </c>
      <c r="C4" s="51" t="s">
        <v>0</v>
      </c>
      <c r="D4" s="51" t="s">
        <v>1</v>
      </c>
      <c r="E4" s="51" t="s">
        <v>2</v>
      </c>
      <c r="F4" s="51" t="s">
        <v>3</v>
      </c>
      <c r="G4" s="51" t="s">
        <v>4</v>
      </c>
      <c r="H4" s="51" t="s">
        <v>94</v>
      </c>
      <c r="I4" s="51" t="s">
        <v>95</v>
      </c>
      <c r="J4" s="51" t="s">
        <v>96</v>
      </c>
      <c r="K4" s="51" t="s">
        <v>97</v>
      </c>
      <c r="L4" s="52" t="s">
        <v>98</v>
      </c>
      <c r="M4" s="51" t="s">
        <v>5</v>
      </c>
    </row>
    <row r="5" spans="1:13" ht="65" x14ac:dyDescent="0.35">
      <c r="A5" s="15" t="s">
        <v>72</v>
      </c>
      <c r="B5" s="51" t="s">
        <v>65</v>
      </c>
      <c r="C5" s="2" t="s">
        <v>77</v>
      </c>
      <c r="D5" s="2" t="s">
        <v>35</v>
      </c>
      <c r="E5" s="2" t="s">
        <v>47</v>
      </c>
      <c r="F5" s="2" t="s">
        <v>73</v>
      </c>
      <c r="G5" s="2"/>
      <c r="H5" s="6">
        <v>0</v>
      </c>
      <c r="I5" s="6">
        <v>0</v>
      </c>
      <c r="J5" s="6">
        <v>200</v>
      </c>
      <c r="K5" s="6">
        <f>AVERAGE(H5:J5)</f>
        <v>66.666666666666671</v>
      </c>
      <c r="L5" s="6">
        <f>K5*0.22921</f>
        <v>15.280666666666667</v>
      </c>
      <c r="M5" s="7" t="s">
        <v>107</v>
      </c>
    </row>
    <row r="6" spans="1:13" ht="52" x14ac:dyDescent="0.35">
      <c r="A6" s="46" t="s">
        <v>79</v>
      </c>
      <c r="B6" s="51" t="s">
        <v>65</v>
      </c>
      <c r="C6" s="2" t="s">
        <v>77</v>
      </c>
      <c r="D6" s="47" t="s">
        <v>7</v>
      </c>
      <c r="E6" s="47" t="s">
        <v>27</v>
      </c>
      <c r="F6" s="2" t="s">
        <v>73</v>
      </c>
      <c r="G6" s="47"/>
      <c r="H6" s="48">
        <v>0</v>
      </c>
      <c r="I6" s="48">
        <v>0</v>
      </c>
      <c r="J6" s="48">
        <v>19.5</v>
      </c>
      <c r="K6" s="48">
        <f>J6</f>
        <v>19.5</v>
      </c>
      <c r="L6" s="48">
        <f>K6*0.23751467</f>
        <v>4.6315360650000006</v>
      </c>
      <c r="M6" s="49" t="s">
        <v>108</v>
      </c>
    </row>
    <row r="7" spans="1:13" ht="143.5" x14ac:dyDescent="0.35">
      <c r="A7" s="50" t="s">
        <v>118</v>
      </c>
      <c r="B7" s="4" t="s">
        <v>109</v>
      </c>
      <c r="C7" s="2" t="s">
        <v>77</v>
      </c>
      <c r="D7" s="4" t="s">
        <v>39</v>
      </c>
      <c r="E7" s="4" t="s">
        <v>39</v>
      </c>
      <c r="F7" s="4" t="s">
        <v>39</v>
      </c>
      <c r="G7" s="60"/>
      <c r="H7" s="9" t="s">
        <v>30</v>
      </c>
      <c r="I7" s="9" t="s">
        <v>30</v>
      </c>
      <c r="J7" s="9" t="s">
        <v>30</v>
      </c>
      <c r="K7" s="9" t="s">
        <v>30</v>
      </c>
      <c r="L7" s="9" t="s">
        <v>30</v>
      </c>
      <c r="M7" s="10" t="s">
        <v>80</v>
      </c>
    </row>
  </sheetData>
  <autoFilter ref="A4:M7"/>
  <mergeCells count="1">
    <mergeCell ref="A1:M2"/>
  </mergeCells>
  <hyperlinks>
    <hyperlink ref="M7" r:id="rId1"/>
    <hyperlink ref="M5" r:id="rId2"/>
    <hyperlink ref="M6" r:id="rId3" display="http://www.kuke-finance.pl/en/news/kuke-finance-secures-a-deal-with-famur,6.htm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sqref="A1:M2"/>
    </sheetView>
  </sheetViews>
  <sheetFormatPr defaultRowHeight="13.5" x14ac:dyDescent="0.35"/>
  <cols>
    <col min="1" max="1" width="25.5" customWidth="1"/>
    <col min="2" max="2" width="20.59765625" customWidth="1"/>
    <col min="3" max="3" width="13.796875" customWidth="1"/>
    <col min="5" max="5" width="10.69921875" customWidth="1"/>
    <col min="6" max="6" width="13.09765625" customWidth="1"/>
    <col min="13" max="13" width="14.5" customWidth="1"/>
  </cols>
  <sheetData>
    <row r="1" spans="1:14" ht="13.5" customHeight="1" x14ac:dyDescent="0.35">
      <c r="A1" s="86" t="s">
        <v>138</v>
      </c>
      <c r="B1" s="86"/>
      <c r="C1" s="86"/>
      <c r="D1" s="86"/>
      <c r="E1" s="86"/>
      <c r="F1" s="86"/>
      <c r="G1" s="86"/>
      <c r="H1" s="86"/>
      <c r="I1" s="86"/>
      <c r="J1" s="86"/>
      <c r="K1" s="86"/>
      <c r="L1" s="86"/>
      <c r="M1" s="86"/>
      <c r="N1" s="77"/>
    </row>
    <row r="2" spans="1:14" ht="13.5" customHeight="1" x14ac:dyDescent="0.35">
      <c r="A2" s="86"/>
      <c r="B2" s="86"/>
      <c r="C2" s="86"/>
      <c r="D2" s="86"/>
      <c r="E2" s="86"/>
      <c r="F2" s="86"/>
      <c r="G2" s="86"/>
      <c r="H2" s="86"/>
      <c r="I2" s="86"/>
      <c r="J2" s="86"/>
      <c r="K2" s="86"/>
      <c r="L2" s="86"/>
      <c r="M2" s="86"/>
      <c r="N2" s="77"/>
    </row>
    <row r="4" spans="1:14" ht="78" x14ac:dyDescent="0.35">
      <c r="A4" s="51" t="s">
        <v>92</v>
      </c>
      <c r="B4" s="51" t="s">
        <v>93</v>
      </c>
      <c r="C4" s="51" t="s">
        <v>0</v>
      </c>
      <c r="D4" s="51" t="s">
        <v>1</v>
      </c>
      <c r="E4" s="51" t="s">
        <v>2</v>
      </c>
      <c r="F4" s="51" t="s">
        <v>3</v>
      </c>
      <c r="G4" s="51" t="s">
        <v>4</v>
      </c>
      <c r="H4" s="51" t="s">
        <v>94</v>
      </c>
      <c r="I4" s="51" t="s">
        <v>95</v>
      </c>
      <c r="J4" s="51" t="s">
        <v>96</v>
      </c>
      <c r="K4" s="51" t="s">
        <v>97</v>
      </c>
      <c r="L4" s="52" t="s">
        <v>98</v>
      </c>
      <c r="M4" s="51" t="s">
        <v>5</v>
      </c>
    </row>
    <row r="5" spans="1:14" ht="81" x14ac:dyDescent="0.35">
      <c r="A5" s="15" t="s">
        <v>74</v>
      </c>
      <c r="B5" s="15" t="s">
        <v>65</v>
      </c>
      <c r="C5" s="2" t="s">
        <v>90</v>
      </c>
      <c r="D5" s="2" t="s">
        <v>7</v>
      </c>
      <c r="E5" s="2" t="s">
        <v>27</v>
      </c>
      <c r="F5" s="16" t="s">
        <v>73</v>
      </c>
      <c r="G5" s="2" t="s">
        <v>76</v>
      </c>
      <c r="H5" s="6">
        <v>330.185092</v>
      </c>
      <c r="I5" s="6">
        <v>330.185092</v>
      </c>
      <c r="J5" s="6">
        <v>330.185092</v>
      </c>
      <c r="K5" s="6">
        <f>AVERAGE(H5:J5)</f>
        <v>330.185092</v>
      </c>
      <c r="L5" s="6">
        <v>138.77479400000001</v>
      </c>
      <c r="M5" s="7" t="s">
        <v>71</v>
      </c>
    </row>
  </sheetData>
  <mergeCells count="1">
    <mergeCell ref="A1:M2"/>
  </mergeCells>
  <hyperlinks>
    <hyperlink ref="M5" r:id="rId1" display="Annex b - Amasra Hard Coal Productyion Proejct Repor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96" zoomScaleNormal="96" workbookViewId="0">
      <selection activeCell="Q7" sqref="Q7"/>
    </sheetView>
  </sheetViews>
  <sheetFormatPr defaultRowHeight="13.5" x14ac:dyDescent="0.35"/>
  <cols>
    <col min="1" max="1" width="31.09765625" customWidth="1"/>
    <col min="2" max="2" width="16.796875" customWidth="1"/>
    <col min="3" max="3" width="13.296875" customWidth="1"/>
    <col min="4" max="4" width="12.69921875" customWidth="1"/>
    <col min="5" max="5" width="12.5" customWidth="1"/>
    <col min="6" max="6" width="10.8984375" customWidth="1"/>
    <col min="7" max="7" width="13" customWidth="1"/>
    <col min="8" max="8" width="11.59765625" customWidth="1"/>
    <col min="9" max="9" width="12.69921875" customWidth="1"/>
    <col min="10" max="10" width="15.296875" customWidth="1"/>
    <col min="11" max="11" width="9.796875" customWidth="1"/>
    <col min="12" max="12" width="10.19921875" customWidth="1"/>
    <col min="13" max="13" width="16" customWidth="1"/>
  </cols>
  <sheetData>
    <row r="1" spans="1:16" ht="13.5" customHeight="1" x14ac:dyDescent="0.35">
      <c r="A1" s="87" t="s">
        <v>135</v>
      </c>
      <c r="B1" s="87"/>
      <c r="C1" s="87"/>
      <c r="D1" s="87"/>
      <c r="E1" s="87"/>
      <c r="F1" s="87"/>
      <c r="G1" s="87"/>
      <c r="H1" s="87"/>
      <c r="I1" s="87"/>
      <c r="J1" s="87"/>
      <c r="K1" s="87"/>
      <c r="L1" s="87"/>
      <c r="M1" s="87"/>
      <c r="N1" s="76"/>
      <c r="O1" s="76"/>
      <c r="P1" s="76"/>
    </row>
    <row r="2" spans="1:16" ht="13.5" customHeight="1" x14ac:dyDescent="0.35">
      <c r="A2" s="87"/>
      <c r="B2" s="87"/>
      <c r="C2" s="87"/>
      <c r="D2" s="87"/>
      <c r="E2" s="87"/>
      <c r="F2" s="87"/>
      <c r="G2" s="87"/>
      <c r="H2" s="87"/>
      <c r="I2" s="87"/>
      <c r="J2" s="87"/>
      <c r="K2" s="87"/>
      <c r="L2" s="87"/>
      <c r="M2" s="87"/>
      <c r="N2" s="76"/>
      <c r="O2" s="76"/>
      <c r="P2" s="76"/>
    </row>
    <row r="4" spans="1:16" ht="65" x14ac:dyDescent="0.35">
      <c r="A4" s="51" t="s">
        <v>92</v>
      </c>
      <c r="B4" s="51" t="s">
        <v>93</v>
      </c>
      <c r="C4" s="51" t="s">
        <v>0</v>
      </c>
      <c r="D4" s="51" t="s">
        <v>1</v>
      </c>
      <c r="E4" s="51" t="s">
        <v>2</v>
      </c>
      <c r="F4" s="51" t="s">
        <v>3</v>
      </c>
      <c r="G4" s="51" t="s">
        <v>4</v>
      </c>
      <c r="H4" s="51" t="s">
        <v>94</v>
      </c>
      <c r="I4" s="51" t="s">
        <v>95</v>
      </c>
      <c r="J4" s="51" t="s">
        <v>96</v>
      </c>
      <c r="K4" s="51" t="s">
        <v>97</v>
      </c>
      <c r="L4" s="52" t="s">
        <v>98</v>
      </c>
      <c r="M4" s="51" t="s">
        <v>5</v>
      </c>
    </row>
    <row r="5" spans="1:16" ht="27" x14ac:dyDescent="0.35">
      <c r="A5" s="15" t="s">
        <v>111</v>
      </c>
      <c r="B5" s="16" t="s">
        <v>40</v>
      </c>
      <c r="C5" s="2" t="s">
        <v>41</v>
      </c>
      <c r="D5" s="4" t="s">
        <v>85</v>
      </c>
      <c r="E5" s="17" t="s">
        <v>27</v>
      </c>
      <c r="F5" s="2" t="s">
        <v>39</v>
      </c>
      <c r="G5" s="2"/>
      <c r="H5" s="6">
        <f>6349*0.9</f>
        <v>5714.1</v>
      </c>
      <c r="I5" s="6">
        <f>9450*0.91</f>
        <v>8599.5</v>
      </c>
      <c r="J5" s="6">
        <f>8152*0.91</f>
        <v>7418.3200000000006</v>
      </c>
      <c r="K5" s="6">
        <f>AVERAGE(H5:J5)</f>
        <v>7243.9733333333343</v>
      </c>
      <c r="L5" s="6">
        <f>AVERAGE(H5*0.238949, I5*0.239168, J5*0.234427)</f>
        <v>1720.3860665133332</v>
      </c>
      <c r="M5" s="7" t="s">
        <v>101</v>
      </c>
    </row>
    <row r="6" spans="1:16" ht="27" x14ac:dyDescent="0.35">
      <c r="A6" s="15" t="s">
        <v>110</v>
      </c>
      <c r="B6" s="16" t="s">
        <v>42</v>
      </c>
      <c r="C6" s="2" t="s">
        <v>41</v>
      </c>
      <c r="D6" s="4" t="s">
        <v>85</v>
      </c>
      <c r="E6" s="17" t="s">
        <v>27</v>
      </c>
      <c r="F6" s="2" t="s">
        <v>39</v>
      </c>
      <c r="G6" s="2"/>
      <c r="H6" s="6">
        <f>2749*0.92</f>
        <v>2529.08</v>
      </c>
      <c r="I6" s="6">
        <f>3051*0.94</f>
        <v>2867.94</v>
      </c>
      <c r="J6" s="6">
        <f>2742*0.96</f>
        <v>2632.3199999999997</v>
      </c>
      <c r="K6" s="6">
        <f t="shared" ref="K6:K13" si="0">AVERAGE(H6:J6)</f>
        <v>2676.4466666666667</v>
      </c>
      <c r="L6" s="6">
        <f>AVERAGE(H6*0.238949,I6*0.239168,J6*0.234427)</f>
        <v>635.77583049333327</v>
      </c>
      <c r="M6" s="7" t="s">
        <v>100</v>
      </c>
    </row>
    <row r="7" spans="1:16" ht="39" x14ac:dyDescent="0.35">
      <c r="A7" s="15" t="s">
        <v>112</v>
      </c>
      <c r="B7" s="16" t="s">
        <v>51</v>
      </c>
      <c r="C7" s="2" t="s">
        <v>41</v>
      </c>
      <c r="D7" s="4" t="s">
        <v>85</v>
      </c>
      <c r="E7" s="17" t="s">
        <v>47</v>
      </c>
      <c r="F7" s="2" t="s">
        <v>39</v>
      </c>
      <c r="G7" s="2"/>
      <c r="H7" s="6">
        <f>1148*0.59</f>
        <v>677.31999999999994</v>
      </c>
      <c r="I7" s="6">
        <f>1123*0.58</f>
        <v>651.33999999999992</v>
      </c>
      <c r="J7" s="6">
        <f>1680*0.62</f>
        <v>1041.5999999999999</v>
      </c>
      <c r="K7" s="6">
        <f t="shared" si="0"/>
        <v>790.08666666666659</v>
      </c>
      <c r="L7" s="6">
        <f>AVERAGE(H7*0.238949, I7*0.239168, J7*0.234427)</f>
        <v>187.26792833333332</v>
      </c>
      <c r="M7" s="7" t="s">
        <v>99</v>
      </c>
    </row>
    <row r="8" spans="1:16" ht="39" x14ac:dyDescent="0.35">
      <c r="A8" s="15" t="s">
        <v>105</v>
      </c>
      <c r="B8" s="16" t="s">
        <v>58</v>
      </c>
      <c r="C8" s="2" t="s">
        <v>41</v>
      </c>
      <c r="D8" s="4" t="s">
        <v>85</v>
      </c>
      <c r="E8" s="17" t="s">
        <v>47</v>
      </c>
      <c r="F8" s="2" t="s">
        <v>54</v>
      </c>
      <c r="G8" s="2"/>
      <c r="H8" s="6">
        <f>857.4*0.874</f>
        <v>749.36759999999992</v>
      </c>
      <c r="I8" s="6">
        <f>1535.9*0.861</f>
        <v>1322.4099000000001</v>
      </c>
      <c r="J8" s="6" t="s">
        <v>30</v>
      </c>
      <c r="K8" s="6">
        <f>AVERAGE(H8:I8)</f>
        <v>1035.8887500000001</v>
      </c>
      <c r="L8" s="6">
        <f>AVERAGE(H8*0.238949, I8*0.239168)</f>
        <v>247.66938480779999</v>
      </c>
      <c r="M8" s="7" t="s">
        <v>55</v>
      </c>
    </row>
    <row r="9" spans="1:16" ht="40.5" x14ac:dyDescent="0.35">
      <c r="A9" s="15" t="s">
        <v>81</v>
      </c>
      <c r="B9" s="16" t="s">
        <v>53</v>
      </c>
      <c r="C9" s="2" t="s">
        <v>41</v>
      </c>
      <c r="D9" s="2" t="s">
        <v>35</v>
      </c>
      <c r="E9" s="17" t="s">
        <v>27</v>
      </c>
      <c r="F9" s="2" t="s">
        <v>39</v>
      </c>
      <c r="G9" s="2"/>
      <c r="H9" s="6">
        <v>3781</v>
      </c>
      <c r="I9" s="6">
        <v>3324</v>
      </c>
      <c r="J9" s="6">
        <v>3003</v>
      </c>
      <c r="K9" s="6">
        <f t="shared" si="0"/>
        <v>3369.3333333333335</v>
      </c>
      <c r="L9" s="6">
        <f>AVERAGE(H9*0.238949,I9*0.239168,J9*0.234427)</f>
        <v>800.81496066666659</v>
      </c>
      <c r="M9" s="7" t="s">
        <v>52</v>
      </c>
    </row>
    <row r="10" spans="1:16" ht="40.5" x14ac:dyDescent="0.35">
      <c r="A10" s="15" t="s">
        <v>115</v>
      </c>
      <c r="B10" s="16" t="s">
        <v>43</v>
      </c>
      <c r="C10" s="2" t="s">
        <v>41</v>
      </c>
      <c r="D10" s="2" t="s">
        <v>17</v>
      </c>
      <c r="E10" s="17" t="s">
        <v>27</v>
      </c>
      <c r="F10" s="2" t="s">
        <v>39</v>
      </c>
      <c r="G10" s="2"/>
      <c r="H10" s="6">
        <v>1000</v>
      </c>
      <c r="I10" s="6">
        <v>1400</v>
      </c>
      <c r="J10" s="6">
        <v>1300</v>
      </c>
      <c r="K10" s="6">
        <f t="shared" si="0"/>
        <v>1233.3333333333333</v>
      </c>
      <c r="L10" s="6">
        <f>AVERAGE(H10*0.238949, I10*0.239168, J10*0.22921)</f>
        <v>290.58573333333334</v>
      </c>
      <c r="M10" s="7" t="s">
        <v>49</v>
      </c>
    </row>
    <row r="11" spans="1:16" ht="39" x14ac:dyDescent="0.35">
      <c r="A11" s="15" t="s">
        <v>121</v>
      </c>
      <c r="B11" s="16" t="s">
        <v>57</v>
      </c>
      <c r="C11" s="2" t="s">
        <v>41</v>
      </c>
      <c r="D11" s="2" t="s">
        <v>12</v>
      </c>
      <c r="E11" s="17" t="s">
        <v>47</v>
      </c>
      <c r="F11" s="2" t="s">
        <v>39</v>
      </c>
      <c r="G11" s="2"/>
      <c r="H11" s="9">
        <v>1242</v>
      </c>
      <c r="I11" s="9">
        <v>1134</v>
      </c>
      <c r="J11" s="9" t="s">
        <v>30</v>
      </c>
      <c r="K11" s="9">
        <f>AVERAGE(H11:J11)</f>
        <v>1188</v>
      </c>
      <c r="L11" s="9">
        <f>AVERAGE(H11*0.238949,I11*0.239168)</f>
        <v>283.99558500000001</v>
      </c>
      <c r="M11" s="7" t="s">
        <v>56</v>
      </c>
    </row>
    <row r="12" spans="1:16" ht="232" customHeight="1" x14ac:dyDescent="0.35">
      <c r="A12" s="15" t="s">
        <v>114</v>
      </c>
      <c r="B12" s="16" t="s">
        <v>75</v>
      </c>
      <c r="C12" s="2" t="s">
        <v>41</v>
      </c>
      <c r="D12" s="2" t="s">
        <v>7</v>
      </c>
      <c r="E12" s="17" t="s">
        <v>27</v>
      </c>
      <c r="F12" s="2" t="s">
        <v>39</v>
      </c>
      <c r="G12" s="2"/>
      <c r="H12" s="6">
        <v>0</v>
      </c>
      <c r="I12" s="6">
        <v>0</v>
      </c>
      <c r="J12" s="6">
        <v>2420</v>
      </c>
      <c r="K12" s="6">
        <f>J12/3</f>
        <v>806.66666666666663</v>
      </c>
      <c r="L12" s="6">
        <f>K12*0.234427</f>
        <v>189.10444666666666</v>
      </c>
      <c r="M12" s="7" t="s">
        <v>113</v>
      </c>
    </row>
    <row r="13" spans="1:16" s="58" customFormat="1" ht="124" customHeight="1" x14ac:dyDescent="0.35">
      <c r="A13" s="55" t="s">
        <v>106</v>
      </c>
      <c r="B13" s="56" t="s">
        <v>44</v>
      </c>
      <c r="C13" s="4" t="s">
        <v>41</v>
      </c>
      <c r="D13" s="4" t="s">
        <v>7</v>
      </c>
      <c r="E13" s="57" t="s">
        <v>27</v>
      </c>
      <c r="F13" s="4" t="s">
        <v>39</v>
      </c>
      <c r="G13" s="4"/>
      <c r="H13" s="9">
        <v>802.85599999999999</v>
      </c>
      <c r="I13" s="9">
        <v>281.88</v>
      </c>
      <c r="J13" s="9">
        <v>301.43299999999999</v>
      </c>
      <c r="K13" s="9">
        <f t="shared" si="0"/>
        <v>462.05633333333327</v>
      </c>
      <c r="L13" s="9">
        <f>AVERAGE(H13*0.2238949, I13*0.239168, J13*0.234427)</f>
        <v>105.94535785513335</v>
      </c>
      <c r="M13" s="10" t="s">
        <v>50</v>
      </c>
    </row>
  </sheetData>
  <autoFilter ref="A4:M13"/>
  <mergeCells count="1">
    <mergeCell ref="A1:M2"/>
  </mergeCells>
  <hyperlinks>
    <hyperlink ref="M5" r:id="rId1" location="tab7"/>
    <hyperlink ref="M8" r:id="rId2"/>
    <hyperlink ref="M7" r:id="rId3"/>
    <hyperlink ref="M9" r:id="rId4"/>
    <hyperlink ref="M10" r:id="rId5"/>
    <hyperlink ref="M11" r:id="rId6"/>
    <hyperlink ref="M13" r:id="rId7"/>
    <hyperlink ref="M6" r:id="rId8" display="Enea Annual Reports"/>
    <hyperlink ref="M12"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vt:lpstr>
      <vt:lpstr>Fiscal support</vt:lpstr>
      <vt:lpstr>Public finance (domestic + EU)</vt:lpstr>
      <vt:lpstr>Public finance (international)</vt:lpstr>
      <vt:lpstr>SOE investment</vt:lpstr>
    </vt:vector>
  </TitlesOfParts>
  <Company>FÖS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FÖS - P3 Energie</dc:creator>
  <cp:lastModifiedBy>Charlie Zajicek</cp:lastModifiedBy>
  <dcterms:created xsi:type="dcterms:W3CDTF">2015-10-19T12:12:58Z</dcterms:created>
  <dcterms:modified xsi:type="dcterms:W3CDTF">2017-09-27T19:25:22Z</dcterms:modified>
</cp:coreProperties>
</file>